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2"/>
  </bookViews>
  <sheets>
    <sheet name="Приложение 4" sheetId="1" r:id="rId1"/>
    <sheet name="Прил.5 Функцион." sheetId="2" r:id="rId2"/>
    <sheet name="Прил.8 Ведомств." sheetId="3" r:id="rId3"/>
  </sheets>
  <definedNames>
    <definedName name="_xlnm._FilterDatabase" localSheetId="1" hidden="1">'Прил.5 Функцион.'!$A$11:$H$420</definedName>
    <definedName name="_xlnm.Print_Titles" localSheetId="2">'Прил.8 Ведомств.'!$12:$13</definedName>
    <definedName name="_xlnm.Print_Area" localSheetId="1">'Прил.5 Функцион.'!$A$1:$G$420</definedName>
  </definedNames>
  <calcPr fullCalcOnLoad="1"/>
</workbook>
</file>

<file path=xl/sharedStrings.xml><?xml version="1.0" encoding="utf-8"?>
<sst xmlns="http://schemas.openxmlformats.org/spreadsheetml/2006/main" count="4507" uniqueCount="656">
  <si>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</si>
  <si>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</si>
  <si>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</si>
  <si>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</si>
  <si>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</si>
  <si>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</si>
  <si>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</si>
  <si>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</si>
  <si>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</si>
  <si>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</si>
  <si>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</si>
  <si>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Депутаты представительного органа муниципального образования</t>
  </si>
  <si>
    <t>0021200</t>
  </si>
  <si>
    <t>500</t>
  </si>
  <si>
    <t>Выполнение функций органами местного самоуправления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</si>
  <si>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</si>
  <si>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</si>
  <si>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</si>
  <si>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</si>
  <si>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0700500</t>
  </si>
  <si>
    <t>Обеспечение деятельности подведомственных учреждений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</si>
  <si>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</si>
  <si>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</si>
  <si>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</si>
  <si>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</si>
  <si>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</si>
  <si>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</si>
  <si>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</si>
  <si>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</si>
  <si>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</si>
  <si>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</si>
  <si>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1020102</t>
  </si>
  <si>
    <t>003</t>
  </si>
  <si>
    <t>7950000</t>
  </si>
  <si>
    <t>006</t>
  </si>
  <si>
    <t xml:space="preserve"> Выполнение функций органами местного самоуправления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</si>
  <si>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</si>
  <si>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</si>
  <si>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</si>
  <si>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0650300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</si>
  <si>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</si>
  <si>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</si>
  <si>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</si>
  <si>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</si>
  <si>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</si>
  <si>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Субсидии юридическим лицам</t>
  </si>
  <si>
    <t xml:space="preserve"> Реализация государственных функций в области национальной экономики</t>
  </si>
  <si>
    <t>3400000</t>
  </si>
  <si>
    <t>3400300</t>
  </si>
  <si>
    <t>1020000</t>
  </si>
  <si>
    <t xml:space="preserve"> Поддержка жилищного хозяйства</t>
  </si>
  <si>
    <t>3500000</t>
  </si>
  <si>
    <t xml:space="preserve"> Бюджетные инвестиции в объекты капитального строительства, не включенные в целевые программы</t>
  </si>
  <si>
    <t xml:space="preserve"> Бюджетные инвестиции</t>
  </si>
  <si>
    <t xml:space="preserve"> Поддержка коммунального хозяйства</t>
  </si>
  <si>
    <t>3510000</t>
  </si>
  <si>
    <t>3510200</t>
  </si>
  <si>
    <t>3510300</t>
  </si>
  <si>
    <t>3510500</t>
  </si>
  <si>
    <t xml:space="preserve"> Бюджетные инвестиции в объекты капитального строительства собственности муниципальных образований</t>
  </si>
  <si>
    <t>6000000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</si>
  <si>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</si>
  <si>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</si>
  <si>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</si>
  <si>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6000202</t>
  </si>
  <si>
    <t>6000201</t>
  </si>
  <si>
    <t>6000300</t>
  </si>
  <si>
    <t xml:space="preserve"> Организация и содержание мест захоронения</t>
  </si>
  <si>
    <t>6000400</t>
  </si>
  <si>
    <t xml:space="preserve"> Прочие мероприятия по благоустройству городских округов и поселений</t>
  </si>
  <si>
    <t>6000500</t>
  </si>
  <si>
    <t xml:space="preserve"> Организационно-воспитательная работа с молодежью</t>
  </si>
  <si>
    <t>4310000</t>
  </si>
  <si>
    <t>4310100</t>
  </si>
  <si>
    <t>4400000</t>
  </si>
  <si>
    <t>4409900</t>
  </si>
  <si>
    <t xml:space="preserve"> Обеспечение деятельности подведомственных учреждений </t>
  </si>
  <si>
    <t>4419900</t>
  </si>
  <si>
    <t>4429900</t>
  </si>
  <si>
    <t>4500000</t>
  </si>
  <si>
    <t>4520000</t>
  </si>
  <si>
    <t>4529900</t>
  </si>
  <si>
    <t>4820000</t>
  </si>
  <si>
    <t>4829900</t>
  </si>
  <si>
    <t>от 25 сентября 2013 года  № 39</t>
  </si>
  <si>
    <t>от 25 сентября 2013года  №39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</si>
  <si>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</si>
  <si>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</si>
  <si>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</si>
  <si>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</si>
  <si>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>005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</si>
  <si>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</si>
  <si>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</si>
  <si>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</si>
  <si>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</si>
  <si>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>КОД раздела</t>
  </si>
  <si>
    <t>0020402</t>
  </si>
  <si>
    <t>3510502</t>
  </si>
  <si>
    <t>4530000</t>
  </si>
  <si>
    <t>Оплата жилищно-коммунальных услуг отдельным категориям граждан</t>
  </si>
  <si>
    <t xml:space="preserve"> Обеспечение  пожарной безопасности</t>
  </si>
  <si>
    <t xml:space="preserve"> Мероприятия по землеустройству и землепользованию</t>
  </si>
  <si>
    <t xml:space="preserve"> Пенсионное обеспечение</t>
  </si>
  <si>
    <t xml:space="preserve"> Доплаты к пенсиям, дополнительное пенсионное обеспечение</t>
  </si>
  <si>
    <t>4910000</t>
  </si>
  <si>
    <t xml:space="preserve"> Доплаты к пенсиям муниципальных служащих</t>
  </si>
  <si>
    <t>4910100</t>
  </si>
  <si>
    <t xml:space="preserve"> Социальное обеспечение населения</t>
  </si>
  <si>
    <t>Мероприятия в области социальной политики</t>
  </si>
  <si>
    <t>4000100</t>
  </si>
  <si>
    <t>4578500</t>
  </si>
  <si>
    <t xml:space="preserve"> Озеленение</t>
  </si>
  <si>
    <t xml:space="preserve"> Связь и информатика</t>
  </si>
  <si>
    <t xml:space="preserve"> Другие вопросы в области национальной экономики </t>
  </si>
  <si>
    <t>4500800</t>
  </si>
  <si>
    <t>0020405</t>
  </si>
  <si>
    <t>7950001</t>
  </si>
  <si>
    <t>7950002</t>
  </si>
  <si>
    <t>7950003</t>
  </si>
  <si>
    <t>3500200</t>
  </si>
  <si>
    <t>3500301</t>
  </si>
  <si>
    <t>3500302</t>
  </si>
  <si>
    <t>3500300</t>
  </si>
  <si>
    <t xml:space="preserve">Субсидии юридическим лицам </t>
  </si>
  <si>
    <t xml:space="preserve"> Фонд социальной поддержки</t>
  </si>
  <si>
    <t>Бюджетные инвестиции в объекты капитального строительства, не включенные в целевые программы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</si>
  <si>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</si>
  <si>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</si>
  <si>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</si>
  <si>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0700501</t>
  </si>
  <si>
    <t>0700502</t>
  </si>
  <si>
    <t>Резервный фонд администрации МО "Город Гатчина"</t>
  </si>
  <si>
    <t>Резервный фонд администрации МО "Город Гатчина" по предупреждению  и ликвидации чрезвычайных ситуаций природного и техногенного характера и последствий стихийных бедствий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</si>
  <si>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</si>
  <si>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</si>
  <si>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</si>
  <si>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</si>
  <si>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</si>
  <si>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</si>
  <si>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</si>
  <si>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</si>
  <si>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</si>
  <si>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>Реализация государственной политики занятости населения</t>
  </si>
  <si>
    <t>5100000</t>
  </si>
  <si>
    <t>5100300</t>
  </si>
  <si>
    <t xml:space="preserve"> Реализация дополнительных мероприятий, направленных на снижение напряженности на рынке труда субъектов РФ</t>
  </si>
  <si>
    <t>4508500</t>
  </si>
  <si>
    <t>4508501</t>
  </si>
  <si>
    <t>4508502</t>
  </si>
  <si>
    <t>4508503</t>
  </si>
  <si>
    <t>4508505</t>
  </si>
  <si>
    <t>4508506</t>
  </si>
  <si>
    <t>4508507</t>
  </si>
  <si>
    <t>4508508</t>
  </si>
  <si>
    <t>4508509</t>
  </si>
  <si>
    <t>4508510</t>
  </si>
  <si>
    <t>4508511</t>
  </si>
  <si>
    <t>4508512</t>
  </si>
  <si>
    <t>4508513</t>
  </si>
  <si>
    <t>3510501</t>
  </si>
  <si>
    <t xml:space="preserve"> КОД целе-вой статьи</t>
  </si>
  <si>
    <t xml:space="preserve"> КОД разде-ла, подраз-дела</t>
  </si>
  <si>
    <t xml:space="preserve">Межбюджетные трансферты </t>
  </si>
  <si>
    <t>6000503</t>
  </si>
  <si>
    <t>6000212</t>
  </si>
  <si>
    <t>6000301</t>
  </si>
  <si>
    <t>6000504</t>
  </si>
  <si>
    <t>6000505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</si>
  <si>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</si>
  <si>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</si>
  <si>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3500101</t>
  </si>
  <si>
    <t>6000501</t>
  </si>
  <si>
    <t xml:space="preserve"> Сбор и удаление твердых отходов</t>
  </si>
  <si>
    <t xml:space="preserve">   Благоустройство</t>
  </si>
  <si>
    <t xml:space="preserve">   Уличное освещение</t>
  </si>
  <si>
    <t xml:space="preserve"> Учреждения культуры и мероприятия в сфере культуры и  кинематографии</t>
  </si>
  <si>
    <t xml:space="preserve">  Расходы по телерадиокомпаниям и телерадиоорганизациям</t>
  </si>
  <si>
    <t>4530300</t>
  </si>
  <si>
    <t>0920301</t>
  </si>
  <si>
    <t>7950005</t>
  </si>
  <si>
    <t>7950004</t>
  </si>
  <si>
    <t>7950011</t>
  </si>
  <si>
    <t>7950007</t>
  </si>
  <si>
    <t>7950010</t>
  </si>
  <si>
    <t xml:space="preserve">         от  25 сентября  2013 года  № 39  </t>
  </si>
  <si>
    <t>7950006</t>
  </si>
  <si>
    <t>7950008</t>
  </si>
  <si>
    <t>Субсидии бюджетным учреждениям</t>
  </si>
  <si>
    <t>019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</si>
  <si>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</si>
  <si>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</si>
  <si>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0020401</t>
  </si>
  <si>
    <t xml:space="preserve">Иные межбюджетные трансферты </t>
  </si>
  <si>
    <t>01</t>
  </si>
  <si>
    <t>00</t>
  </si>
  <si>
    <t>03</t>
  </si>
  <si>
    <t>04</t>
  </si>
  <si>
    <t>06</t>
  </si>
  <si>
    <t>11</t>
  </si>
  <si>
    <t>13</t>
  </si>
  <si>
    <t>Резервные фонды местных администраций</t>
  </si>
  <si>
    <t xml:space="preserve"> Выполнение гос.полномочий по распоряжению земельными участками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</si>
  <si>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</si>
  <si>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0700000</t>
  </si>
  <si>
    <t>0920302</t>
  </si>
  <si>
    <t>0920303</t>
  </si>
  <si>
    <t xml:space="preserve">Долгосрочные  целевые программы муниципальных образований </t>
  </si>
  <si>
    <t>09</t>
  </si>
  <si>
    <t>10</t>
  </si>
  <si>
    <t>12</t>
  </si>
  <si>
    <t>Долгосрочная целевая  программа  "Развитие субъектов малого и среднего предпринимательства в МО "Город Гатчина" на 2012-2014годы"</t>
  </si>
  <si>
    <t>05</t>
  </si>
  <si>
    <t>Бюджетные инвестиции в объекты капитального строительства собственности муниципальных образований</t>
  </si>
  <si>
    <t>3500102</t>
  </si>
  <si>
    <t>02</t>
  </si>
  <si>
    <t xml:space="preserve"> Мероприятия в области коммунального хозяйства</t>
  </si>
  <si>
    <t xml:space="preserve">Долгосрочные целевые программы муниципальных образований </t>
  </si>
  <si>
    <t>Долгосрочная целевая программа  "Модернизация объектов коммунальной инфраструктуры муниципального образования "Город Гатчина" Гатчинского муниципального района в сфере водоснабжения и водоотведения на 2010-2013 годы"</t>
  </si>
  <si>
    <t>Долгосрочная целевая программа "Энергосбережение и повышение энергетической эффективности в МО "Город Гатчина" на 2010-2015 годы"</t>
  </si>
  <si>
    <t>6000302</t>
  </si>
  <si>
    <t>6000502</t>
  </si>
  <si>
    <t xml:space="preserve"> Субсидии бюджетным учреждениям</t>
  </si>
  <si>
    <t>07</t>
  </si>
  <si>
    <t>Субсидии на иные цели</t>
  </si>
  <si>
    <t>08</t>
  </si>
  <si>
    <t>4409910</t>
  </si>
  <si>
    <t>4409911</t>
  </si>
  <si>
    <t>4409912</t>
  </si>
  <si>
    <t>4409920</t>
  </si>
  <si>
    <t>4409921</t>
  </si>
  <si>
    <t>4409930</t>
  </si>
  <si>
    <t>4409931</t>
  </si>
  <si>
    <t xml:space="preserve"> Обеспечение деятельности театра "Встречи" </t>
  </si>
  <si>
    <t>4409940</t>
  </si>
  <si>
    <t>4409941</t>
  </si>
  <si>
    <t>4419901</t>
  </si>
  <si>
    <t>4419902</t>
  </si>
  <si>
    <t>4429901</t>
  </si>
  <si>
    <t>4429902</t>
  </si>
  <si>
    <t>Мероприятия в сфере культуры, кинематографии</t>
  </si>
  <si>
    <t xml:space="preserve"> Расходы на подготовку и проведение мероприятий, посвященных Дню города</t>
  </si>
  <si>
    <t xml:space="preserve"> "Постановка спектакля С.Т. Аксакова "Аленький цветочек"</t>
  </si>
  <si>
    <t xml:space="preserve"> "Открытый фестиваль лоскутного шитья "Лукоморье"</t>
  </si>
  <si>
    <t xml:space="preserve"> "Издание альбома по памятникам истории и культуры города "Гатчина-Россия и весь мир"</t>
  </si>
  <si>
    <t xml:space="preserve"> "Крепость Ингербург"</t>
  </si>
  <si>
    <t>4500801</t>
  </si>
  <si>
    <t>4500802</t>
  </si>
  <si>
    <t>Другие вопросы в области культуры, кинематографии</t>
  </si>
  <si>
    <t xml:space="preserve"> Централизованные бухгалтерии, группы хозяйственного обслуживания</t>
  </si>
  <si>
    <t>Социальные выплаты</t>
  </si>
  <si>
    <t>4829901</t>
  </si>
  <si>
    <t>4829902</t>
  </si>
  <si>
    <t>Прочие расходы по содержанию дорог</t>
  </si>
  <si>
    <t>Приложение 4</t>
  </si>
  <si>
    <t>"О бюджете МО "Город Гатчина" на 2013 год"</t>
  </si>
  <si>
    <t>от 28 ноября 2012 года №47</t>
  </si>
  <si>
    <t>Приложение 5</t>
  </si>
  <si>
    <t xml:space="preserve"> "О бюджете МО "Город Гатчина" на  2013 год"  </t>
  </si>
  <si>
    <t>от  28 ноября  2012 года  № 47</t>
  </si>
  <si>
    <t>Приложение 8</t>
  </si>
  <si>
    <t xml:space="preserve">"О бюджете МО "Город Гатчина" на 2013 год"  </t>
  </si>
  <si>
    <t>от  28 ноября 2012года  № 47</t>
  </si>
  <si>
    <t xml:space="preserve"> Прочие расходы на озеленение</t>
  </si>
  <si>
    <t>6000303</t>
  </si>
  <si>
    <t>6000203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</si>
  <si>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</si>
  <si>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</si>
  <si>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</si>
  <si>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0920306</t>
  </si>
  <si>
    <t>Код главы</t>
  </si>
  <si>
    <t>Комитет по управлению имуществом муниципального образования "Город Гатчина"</t>
  </si>
  <si>
    <t>009</t>
  </si>
  <si>
    <t>Администрация муниципального образования "Город Гатчина" Гатчинского муниципального района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</si>
  <si>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</si>
  <si>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</si>
  <si>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</si>
  <si>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</si>
  <si>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</si>
  <si>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Долгосрочная целевая программа  "Капитальный ремонт многоквартирных жилых домов, расположенных на территории МО "Город Гатчина" на 2010-2012 годы"</t>
  </si>
  <si>
    <t>Эвакуация транспортных средств</t>
  </si>
  <si>
    <t>Прочие расходы по благоустройству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</si>
  <si>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</si>
  <si>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</si>
  <si>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</si>
  <si>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>3510503</t>
  </si>
  <si>
    <t>3500201</t>
  </si>
  <si>
    <t>3500202</t>
  </si>
  <si>
    <t xml:space="preserve">Поддержка в сфере культуры, кинематографии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</si>
  <si>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</si>
  <si>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</si>
  <si>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</si>
  <si>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>Поддержка в сфере культуры, кинематографии</t>
  </si>
  <si>
    <t xml:space="preserve"> Расходы на  общегородские мероприятия</t>
  </si>
  <si>
    <t xml:space="preserve"> Возмещение 85-летним гражданам и старше расходов по оплате жилого помещения и коммунальных услуг</t>
  </si>
  <si>
    <t>Расходы на городские мероприятия в сфере культуры</t>
  </si>
  <si>
    <t xml:space="preserve"> "Создание электронной версии газеты "Гатчинская правда" 1931-1991 годы, 1этап"</t>
  </si>
  <si>
    <t xml:space="preserve">   "Древо жизни" </t>
  </si>
  <si>
    <t xml:space="preserve"> "В книжном царстве, компьютерном государстве"</t>
  </si>
  <si>
    <t xml:space="preserve"> "Этим городом я околдован..." </t>
  </si>
  <si>
    <t xml:space="preserve">  "Мир искусства и литературы"</t>
  </si>
  <si>
    <t xml:space="preserve">Муниципальная поддержка кинематографии </t>
  </si>
  <si>
    <t>Муниципальная  поддержка МКВП "Победа"</t>
  </si>
  <si>
    <t>Расходы на проведение  кинофестиваля  "Литература и кино"</t>
  </si>
  <si>
    <t>Капитальные работы по коммунальным объектам муниципальной собственности</t>
  </si>
  <si>
    <t>3510504</t>
  </si>
  <si>
    <t>ДЦП "Культура Ленинградской области на 2011-2013 годы"</t>
  </si>
  <si>
    <t>5220200</t>
  </si>
  <si>
    <t xml:space="preserve"> ФЦП "Жилище" на 2011-2015 годы, подпрограмма "Обеспечение жильем молодых семей" (федеральный бюджет)</t>
  </si>
  <si>
    <t xml:space="preserve"> ФЦП "Жилище" на 2011-2015 годы, подпрограмма "Обеспечение жильем молодых семей" (областной бюджет)</t>
  </si>
  <si>
    <t xml:space="preserve">ДЦП "О поддержке граждан, нуждающихся в улучшении жилищных условий, на основе принципов ипотечного кредитования в Ленинградской области на 2009-2012 годы" </t>
  </si>
  <si>
    <t>Долгосрочные целевые программы муниципальных образований</t>
  </si>
  <si>
    <t>Коммунальное хозяйство</t>
  </si>
  <si>
    <t>Обеспечение пожарной безопасности</t>
  </si>
  <si>
    <t>Общее образование</t>
  </si>
  <si>
    <t>4230000</t>
  </si>
  <si>
    <t>Учреждения по внешкольной работе с детьми</t>
  </si>
  <si>
    <t>4239900</t>
  </si>
  <si>
    <t>4239902</t>
  </si>
  <si>
    <t>Молодежная политика и оздоровление детей</t>
  </si>
  <si>
    <t>Организационно-воспитательная работа с молодежью</t>
  </si>
  <si>
    <t>4319900</t>
  </si>
  <si>
    <t>4319901</t>
  </si>
  <si>
    <t>4319902</t>
  </si>
  <si>
    <t>Физическая культура</t>
  </si>
  <si>
    <t>Центры спортивной подготовки (сборные команды)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</si>
  <si>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</si>
  <si>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</si>
  <si>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</si>
  <si>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</si>
  <si>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</si>
  <si>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</si>
  <si>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Расходы на возмещение затрат по ручной уборке тротуаров и территорий общего пользования (окончательный расчет за 2011 год)</t>
  </si>
  <si>
    <t>6000506</t>
  </si>
  <si>
    <t>Долгосрочная целевая программа "Культура Гатчины на 2010-2012 годы"</t>
  </si>
  <si>
    <t>Национальная безопасность и правоохранительнная деятельность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</si>
  <si>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</si>
  <si>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</si>
  <si>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</si>
  <si>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4508504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</si>
  <si>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</si>
  <si>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ДЦП"Комплексные меры противодействия злоупотреблению наркотиками  и их незаконному обороту на территории Ленинградской области на 2012-2015 годы"</t>
  </si>
  <si>
    <t>5221200</t>
  </si>
  <si>
    <t>ДЦП"Капитальный ремонт объектов культуры городских поселенийЛенинградской области на 2011-2013годы" (МБУ ЦБС г.Гатчины)</t>
  </si>
  <si>
    <t>5220700</t>
  </si>
  <si>
    <t>5220701</t>
  </si>
  <si>
    <t>5220702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</si>
  <si>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</si>
  <si>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</si>
  <si>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5210202</t>
  </si>
  <si>
    <t>5210223</t>
  </si>
  <si>
    <t>7952100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</si>
  <si>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</si>
  <si>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5210307</t>
  </si>
  <si>
    <t>Прочие мероприятия в области социальной политики</t>
  </si>
  <si>
    <t xml:space="preserve"> Муниципальное казенное учреждение "Сервисная служба учреждений культуры города Гатчины"</t>
  </si>
  <si>
    <t>Резервный фонд Правительства Ленинградской области</t>
  </si>
  <si>
    <t>0700401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</si>
  <si>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(для МБУЦТЮ)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</si>
  <si>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(для театра "Встречи")</t>
  </si>
  <si>
    <t>5201501</t>
  </si>
  <si>
    <t>5201502</t>
  </si>
  <si>
    <t xml:space="preserve">Субсидии бюджетным учреждениям 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</si>
  <si>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 </t>
  </si>
  <si>
    <t>5201500</t>
  </si>
  <si>
    <t>0920308</t>
  </si>
  <si>
    <t>План годовой уточнен- ный на 2013 год</t>
  </si>
  <si>
    <t>4409922</t>
  </si>
  <si>
    <t>Дорожное хозяйство (дорожные фонды)</t>
  </si>
  <si>
    <t xml:space="preserve"> Благоустройство</t>
  </si>
  <si>
    <t>Расходы по возмещению затрат по ремонту жилищного фонда по искам суда</t>
  </si>
  <si>
    <t>4508514</t>
  </si>
  <si>
    <t>Реализация Программы "ELRI-135" приграничного сотрудничества "Эстония-Литва-Россия" в рамках Соглашения между Правительством РФ и Европейским сообществом о партнерстве и сотрудничестве на 2012-2013годы</t>
  </si>
  <si>
    <t>Обеспечение стимулирующих выплат основному персоналу муниципальных музеев и библиотек</t>
  </si>
  <si>
    <t>5210136</t>
  </si>
  <si>
    <t>Обслуживание внутреннего государственного и муниципального долга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</si>
  <si>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</si>
  <si>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</si>
  <si>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Мероприятия по капитальному ремонту и ремонту автомобильных дорог общего пользования местного значения, в том числе населенных пунктах Ленинградской области</t>
  </si>
  <si>
    <t>5224013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</si>
  <si>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 в 2012 году"</t>
  </si>
  <si>
    <t>5226800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</si>
  <si>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</si>
  <si>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Субсидии бюджетам муниципальных образований для оказания государственной поддержки молодым гражданам, нуждающимся в улучшении жилищных условий, на строительство (приобретение) жилья в рамках подпрограммы "Обеспечение жильем молодых семей" ФЦП "Жилище" на 2011-2015 годы</t>
  </si>
  <si>
    <t>3500303</t>
  </si>
  <si>
    <t>Субсидии на возмещение затрат по капитальному ремонту общедомового имущества в многоквартирных жилых домах в доле муниципальной собственности независимо от формы управления</t>
  </si>
  <si>
    <t>4310101</t>
  </si>
  <si>
    <t>Расходы по софинансированию областной ДЦП"Комплексные меры противодействия злоупотреблению наркотиками  и их незаконному обороту на территории Ленинградской области на 2012-2015 годы"</t>
  </si>
  <si>
    <t>Мероприятия в области строительства, архитектуры и градостроительства (по корректировке проекта планировки территории Западного строительного района г.Гатчины)</t>
  </si>
  <si>
    <t>3380000</t>
  </si>
  <si>
    <t>4508515</t>
  </si>
  <si>
    <t xml:space="preserve"> Приобретение автобуса для учреждений культуры</t>
  </si>
  <si>
    <t>тыс.руб.</t>
  </si>
  <si>
    <t xml:space="preserve"> Код вида расхо-дов</t>
  </si>
  <si>
    <t xml:space="preserve">План годовой уточнен- ный на 2013 год </t>
  </si>
  <si>
    <r>
      <t xml:space="preserve">Распределение бюджетных ассигнований по разделам и подразделам, целевым статьям и видам расходов классификации расходов бюджета МО "Город Гатчина"  на 2013 год                                                  </t>
    </r>
    <r>
      <rPr>
        <b/>
        <sz val="11"/>
        <rFont val="Times New Roman"/>
        <family val="1"/>
      </rPr>
      <t>(тыс.руб.)</t>
    </r>
  </si>
  <si>
    <t>6000211</t>
  </si>
  <si>
    <t>3500304</t>
  </si>
  <si>
    <t>Долгосрочная 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</si>
  <si>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Долгосрочная целевая программа "Пожарная безопасность на территории МО "Город Гатчина" на 2013-2015 годы"</t>
  </si>
  <si>
    <t>Разработка схемы теплоснабжения на территории МО "Город Гатчина"</t>
  </si>
  <si>
    <t>Долгосрочная целевая программа "Газоснабжение Гатчинского муниципального района на 2013 год"</t>
  </si>
  <si>
    <t xml:space="preserve">Ведомственная структура расходов бюджета МО "Город Гатчина"                                                                                                  на 2013 год                                                       </t>
  </si>
  <si>
    <t>Приложение 14</t>
  </si>
  <si>
    <t>Долгосрочная целевая программа "Поддержка граждан, нуждающихся в улучшении жилищных условий, в том числе молодежи на 2013-2015годы"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</si>
  <si>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 годы"</t>
  </si>
  <si>
    <t xml:space="preserve">Софинансирование за счет средств местного бюджета в рамках региональной  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</si>
  <si>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>0920309</t>
  </si>
  <si>
    <t xml:space="preserve">Софинансирование за счет средств местного бюджета в рамках региональной  ДЦП "Жилье для молодежи" на 2012-2015 годы" </t>
  </si>
  <si>
    <t xml:space="preserve"> ФЦП "Жилище" на 2011-2015 годы", подпрограмма "Обеспечение жильем молодых семей" (местный бюджет)</t>
  </si>
  <si>
    <t>Разработка проектной  документации для строительства малоэтажных жилых домов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</si>
  <si>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</si>
  <si>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 xml:space="preserve">   к решению совета депутатов МО "Город Гатчина"</t>
  </si>
  <si>
    <t>3510505</t>
  </si>
  <si>
    <t>Долгосрочная целевая программа  "Модернизация объектов коммунальной инфраструктуры МО "Город Гатчина" Гатчинского муниципального района  в сфере теплоснабжения на 2010-2015 годы"</t>
  </si>
  <si>
    <t>Ведомственная целевая программа "Областной литературно-исторический фестиваль имени А.И. Куприна"</t>
  </si>
  <si>
    <t>Ведомственная целевая программа "Создание электронной версии газеты Гатчинская правда" 2-й этап 1947-1965 годы"</t>
  </si>
  <si>
    <t>Ведомственная целевая программа "Музыкальные узоры"</t>
  </si>
  <si>
    <t xml:space="preserve">Распределение бюджетных ассигнований по разделам и подразделам классификации расходов бюджета МО "Город Гатчина"  на 2013 год                                                                                                               </t>
  </si>
  <si>
    <t>(тыс.руб.)</t>
  </si>
  <si>
    <t>Код раздела подраз- дела</t>
  </si>
  <si>
    <t>Ведомственная целевая программа "Как прекрасен этот мир"</t>
  </si>
  <si>
    <t xml:space="preserve">Ведомственная целевая программа "Тебе, любимый город…" </t>
  </si>
  <si>
    <t>Ведомственная целевая программа "Сохранение культурного наследия"</t>
  </si>
  <si>
    <t>Ведомственная целевая программа "Выставочная деятельность товарищества Гатчинских художников"</t>
  </si>
  <si>
    <t>Ведомственная целевая программа "Постановка двух историко-бытовых танцев для ансамбля "Олимпия"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</si>
  <si>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</si>
  <si>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</si>
  <si>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домами, в которых набор коммунальных услуг меньше стандартного на один любой вид услуги или на два любых вида и более, в случае установления размера платы органом местного самоуправления за содержание и текущий ремонт общего имущества  в многоквартирном доме ниже  ЭОТ</t>
  </si>
  <si>
    <t xml:space="preserve"> Компенсация выпадающих доходов организациям,   предоставляющим  услуги теплоснабжения (отопления  жилых помещений в многоквартирных домах или жилых домах при отсутствии приборов учета) гражданам , прживающим в домах постройки до 1945 года, в случае установления ставки платы ниже ЭОТ.</t>
  </si>
  <si>
    <t>Компенсация расходов по установке приборов учета коммунальных услуг</t>
  </si>
  <si>
    <t>ФЦП "Жилище" на 2011-2015 годы"</t>
  </si>
  <si>
    <t>Социальная помощь</t>
  </si>
  <si>
    <t xml:space="preserve">  Возмещение многодетным семьям расходов по оплате жилого помещения и коммунальных услуг</t>
  </si>
  <si>
    <t>Телерадиокомпании и телерадиоорганизации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</si>
  <si>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</si>
  <si>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Музеи и постоянные выставки</t>
  </si>
  <si>
    <t>4410000</t>
  </si>
  <si>
    <t>Библиотеки</t>
  </si>
  <si>
    <t>4420000</t>
  </si>
  <si>
    <t xml:space="preserve">Обеспечение пожарной безопасности </t>
  </si>
  <si>
    <t>4239901</t>
  </si>
  <si>
    <t>ДЦП "Жилье для молодежи" на 2012-2015 годы"</t>
  </si>
  <si>
    <t>2180000</t>
  </si>
  <si>
    <t xml:space="preserve"> КОД целевой статьи</t>
  </si>
  <si>
    <t>Возмещение затрат по проведению  ремонта многоквартирных  домов в следующих случаях: а)доля собственности МО "Город Гатчина" не менее 50%; б) малоэтажные дома ( до двух этажей вкл.) до 1975 года постройки;  в) дома, в которых выявлены дефекты, угрожающие жизни и здоровью проживающих, но решение о проведении работ на общем собрании собственников не принято</t>
  </si>
  <si>
    <t xml:space="preserve"> Компенсация выпадающих доходов организациям,   предоставляющим  услуги теплоснабжения (отопления  жилых помещений в многоквартирных домах или жилых домах при отсутствии приборов учета) гражданам , прживающим в домах постройки до 1945 года, в случае установления ставки платы ниже ЭОТ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</si>
  <si>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</si>
  <si>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</si>
  <si>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Ведомственная целевая программа "Праздничная культура Гатчинского муниципального района на 2013 год"</t>
  </si>
  <si>
    <t>7955500</t>
  </si>
  <si>
    <t>5220000</t>
  </si>
  <si>
    <t>Долгосрочные целевые программы Ленинградской области</t>
  </si>
  <si>
    <t>ДЦП "Праздничная культура Гатчинского муниципального района на 2013 год"</t>
  </si>
  <si>
    <t>Возмещение  затрат по содержанию Домов ветеранов</t>
  </si>
  <si>
    <t xml:space="preserve">Возмещение затрат по механизированной уборке дорог общего пользования </t>
  </si>
  <si>
    <t>Возмещение затрат по механизированной уборке дорог общего пользования (окончательный расчет за 2012 год)</t>
  </si>
  <si>
    <t xml:space="preserve"> Возмещение  затрат по содержанию дорог  (окончательный расчет за 2012 год)</t>
  </si>
  <si>
    <t xml:space="preserve">Возмещение затрат по содержанию дорог </t>
  </si>
  <si>
    <t xml:space="preserve">Возмещение затрат по содержанию временно пустующих помещений, находящихся в муниципальной собственности </t>
  </si>
  <si>
    <t xml:space="preserve">Возмещение затрат по проведению ремонта многоквартирных домов  </t>
  </si>
  <si>
    <t>Возмещение затрат по  ремонту жилых помещений, находящихся в муниципальной собственности</t>
  </si>
  <si>
    <t xml:space="preserve">Возмещение затрат по текущему содержанию зеленого хозяйства общего пользования </t>
  </si>
  <si>
    <t xml:space="preserve">Возмещение затрат по текущему содержанию зеленого хозяйства общего пользования  (окончательный расчет за 2012 год) </t>
  </si>
  <si>
    <t>Возмещение затрат по механизированной и ручной уборке внутридворовых территорий</t>
  </si>
  <si>
    <t>Возмещение затрат по механизированной и ручной уборке тротуаров, уборке территорий общего пользования</t>
  </si>
  <si>
    <t>Возмещение затрат по механизированной и ручной уборке тротуаров и территорий общего пользования (окончательный расчет за 2012 год)</t>
  </si>
  <si>
    <t>244</t>
  </si>
  <si>
    <t>Прочая закупка товаров, работ и услуг для муниципальных нужд</t>
  </si>
  <si>
    <t>Фонд оплаты труда и страховые выплаты</t>
  </si>
  <si>
    <t>Иные выплаты персоналу, за исключением фонда оплаты труда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</si>
  <si>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</si>
  <si>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</si>
  <si>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</si>
  <si>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</si>
  <si>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</si>
  <si>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</si>
  <si>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</si>
  <si>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422</t>
  </si>
  <si>
    <t>243</t>
  </si>
  <si>
    <t>321</t>
  </si>
  <si>
    <t>Пособия и компенсации гражданам и иные социальные выплаты, кроме публичных нормативных обязательств (доплаты к пенсиям муниципальных служащих)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</si>
  <si>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</si>
  <si>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</si>
  <si>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</si>
  <si>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</si>
  <si>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</si>
  <si>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</si>
  <si>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</si>
  <si>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</si>
  <si>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</si>
  <si>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</si>
  <si>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</si>
  <si>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</si>
  <si>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540</t>
  </si>
  <si>
    <t>Фонд оплаты труда и страховые взносы</t>
  </si>
  <si>
    <t xml:space="preserve"> Долгосрочная  целевая программа 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</si>
  <si>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810</t>
  </si>
  <si>
    <t xml:space="preserve"> Субсидии юридическим лицам (кроме муниципальных учреждений) и физическим лицам - производителям товаров, работ, услуг</t>
  </si>
  <si>
    <t>450</t>
  </si>
  <si>
    <t>Бюджетные инвестиции иным юридическим лицам</t>
  </si>
  <si>
    <t>Специальные расходы</t>
  </si>
  <si>
    <t>880</t>
  </si>
  <si>
    <t>3500305</t>
  </si>
  <si>
    <t>411</t>
  </si>
  <si>
    <t xml:space="preserve"> Бюджетные инвестиции в объекты муниципальной собственности казенным учреждениям </t>
  </si>
  <si>
    <t>323</t>
  </si>
  <si>
    <t>Приобретение товаров, работ, услуг в пользу граждан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</si>
  <si>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</si>
  <si>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314</t>
  </si>
  <si>
    <t>Меры социальной поддержки населения по публичным нормативным обязательствам</t>
  </si>
  <si>
    <t xml:space="preserve"> Поддержка в сфере культуры, кинематографии и средств массовой информации (возмещение затрат по публикации информационных материалов)</t>
  </si>
  <si>
    <t>710</t>
  </si>
  <si>
    <t>Обслуживание муниципального долга городских поселений</t>
  </si>
  <si>
    <t>Закупка товаров, работ, услуг в целях капитального ремонта муниципального имущества</t>
  </si>
  <si>
    <t xml:space="preserve">Ремонт кровли жилого дома №15 по ул.Генерала Кныша по решению суда </t>
  </si>
  <si>
    <t xml:space="preserve">  Комитет финансов администрации муниципального образования "Город Гатчина" Гатчинского муниципального района</t>
  </si>
  <si>
    <t>112</t>
  </si>
  <si>
    <t xml:space="preserve">Реализация Программы "ELRI-135" приграничного сотрудничества "Эстония-Латвия-Россия"в рамках Соглашения между Правительством РФ и Европейским сообществом о партнерстве и сотрудничестве на 2012-2013годы 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</si>
  <si>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</si>
  <si>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</si>
  <si>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</si>
  <si>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4320000</t>
  </si>
  <si>
    <t>Мероприятия по организации оздоровительной кампании детей и подростков</t>
  </si>
  <si>
    <t>4409932</t>
  </si>
  <si>
    <t>в том числе софинансирование из бюджета Гатчинского муниципального района</t>
  </si>
  <si>
    <t>ДЦП "Капитальный ремонт объектов культуры городских поселений Ленинградской области на 2011-2013 годы"</t>
  </si>
  <si>
    <t>Органы местного самоуправления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</si>
  <si>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</si>
  <si>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</si>
  <si>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ДЦП "Капитальный ремонт объектов культуры городских поселений Ленинградской области на 2011-2013годы"</t>
  </si>
  <si>
    <t>ДЦП "Капитальный ремонт объектов культуры городских поселений Ленинградской области на 2011-2013годы"(МБУ "Дом культуры г.Гатчины")</t>
  </si>
  <si>
    <t>Осуществление финансового контроля бюджетов муниципальных образований городских и сельских поселений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</si>
  <si>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 в рамках областной ДЦП"Жилье для молодежи" на 2012-2015 годы</t>
  </si>
  <si>
    <t xml:space="preserve">"Об исполнении бюджета МО "Город Гатчина" за 1 полугодие 2013 года"  </t>
  </si>
  <si>
    <t>Исполнено</t>
  </si>
  <si>
    <t>Приложение 7</t>
  </si>
  <si>
    <t xml:space="preserve"> к решению совета депутатов  МО "Город Гатчина"</t>
  </si>
  <si>
    <t xml:space="preserve"> КОД раздела, подраз-дела</t>
  </si>
  <si>
    <t xml:space="preserve">Иные выплаты персоналу, за исключением фонда оплаты труда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</si>
  <si>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</si>
  <si>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государственной(муниципальной) власти либо должностных лиц этих органов, а также в результате деятельности казенных учреждений</t>
  </si>
  <si>
    <t xml:space="preserve"> Расходы на общегородские мероприятия</t>
  </si>
  <si>
    <t xml:space="preserve">Разработка проектной документации для строительства малоэтажных жилых домов 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</si>
  <si>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2013-2015годы"</t>
  </si>
  <si>
    <t>Долгосрочная целевая программа "Пожарная безопасность на территории МО "Город Гатчина" на 2013-2015годы"</t>
  </si>
  <si>
    <t xml:space="preserve">Долгосрочные  целевые программы Ленинградской области </t>
  </si>
  <si>
    <t xml:space="preserve">Расходы на возмещение затрат по механизированной уборке дорог общего пользования </t>
  </si>
  <si>
    <t xml:space="preserve"> Субсидии юридическим лицам (кроме муниципальных учреждений) и физическим лицам - производителям товаров, работ, услуг </t>
  </si>
  <si>
    <t>Расходы на возмещение затрат по механизированной уборке дорог общего пользования (окончательный расчет за 2012 год)</t>
  </si>
  <si>
    <t xml:space="preserve">Расходы на возмещение затрат по содержанию дорог </t>
  </si>
  <si>
    <t>Расходы на  возмещению затрат по содержанию дорог (окончательный расчет за 2012 год)</t>
  </si>
  <si>
    <t>Закупка товаров, работ и услуг в целях капитального ремонта муниципального имущества</t>
  </si>
  <si>
    <t xml:space="preserve">  Долгосрочная  целевая программа 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</si>
  <si>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Долгосрочная целевая  программа  "Развитие субъектов малого и среднего предпринимательства в МО "Город Гатчина" на 2012-2014 годы"</t>
  </si>
  <si>
    <t>Возмещение затрат по содержанию временно пустующих помещений, находящихся в муниципальной собственности</t>
  </si>
  <si>
    <t xml:space="preserve">Возмещение затрат по проведению ремонта многоквартирных домов </t>
  </si>
  <si>
    <t>Возмещение затрат по проведению  ремонта многоквартирных домов в следующих случаях: а)доля собственности МО "Город Гатчина" не менее 50%; б) малоэтажные дома ( до двух этажей вкл.) до 1975 года постройки; в) дома, в которых выявлены дефекты, угрожающие жизни и здоровью проживающих, но решение о проведении работ на общем собрании собственников не принято.</t>
  </si>
  <si>
    <t xml:space="preserve">Ремонт кровли жилого дома №15 по ул.Генерала Кныша по решению суда  </t>
  </si>
  <si>
    <t xml:space="preserve"> Бюджетные инвестиции в объекты муниципальной собственности казенным учреждениям</t>
  </si>
  <si>
    <t xml:space="preserve">Компенсация расходов по установку приборов учета потребления коммунальных услуг </t>
  </si>
  <si>
    <t xml:space="preserve"> Прочие расходы по газификации</t>
  </si>
  <si>
    <t xml:space="preserve"> Код вида рас-ходов</t>
  </si>
  <si>
    <t>Возмещение затрат по текущему содержанию зеленого хозяйства общего пользования (окончательный расчет за 2012 год)</t>
  </si>
  <si>
    <t>Вывоз тел умерших по заявкам УВД и Домов ветеранов</t>
  </si>
  <si>
    <t xml:space="preserve"> Эвакуация транспортных средств</t>
  </si>
  <si>
    <t xml:space="preserve"> Прочие расходы по благоустройству</t>
  </si>
  <si>
    <t xml:space="preserve">Учреждения по внешкольной работе с детьми </t>
  </si>
  <si>
    <t xml:space="preserve"> Субсидии  бюджетным учреждениям</t>
  </si>
  <si>
    <t>Субсидии на финансовое обеспечение муниципального задания на оказание муниципальных услуг (выполнение работ)</t>
  </si>
  <si>
    <t>Государственная поддержка в сфере культуры, кинематографии</t>
  </si>
  <si>
    <t>Расходы на  городские мероприятия в сфере культуры</t>
  </si>
  <si>
    <t>"Создание электронной версии газеты "Гатчинская правда" 2-й этап 1947-1965 годы"</t>
  </si>
  <si>
    <t>"Областной литературно-исторический фестиваль имени А.И. Куприна"</t>
  </si>
  <si>
    <t>"Музыкальные узоры"</t>
  </si>
  <si>
    <t>"Как прекрасен этот мир"</t>
  </si>
  <si>
    <t xml:space="preserve">"Тебе, любимый город…" </t>
  </si>
  <si>
    <t>"Сохранение культурного наследия"</t>
  </si>
  <si>
    <t>Приложение 6</t>
  </si>
  <si>
    <t>Код раз-дела</t>
  </si>
  <si>
    <t>План годовой уточнен-ный</t>
  </si>
  <si>
    <t>% исполне-ния</t>
  </si>
  <si>
    <t>0100</t>
  </si>
  <si>
    <t xml:space="preserve"> Функционирование законодательных (представительных) органов муниципального образования</t>
  </si>
  <si>
    <t>0103</t>
  </si>
  <si>
    <t xml:space="preserve"> Функционирование местных администраций</t>
  </si>
  <si>
    <t>0104</t>
  </si>
  <si>
    <t xml:space="preserve"> Обеспечение деятельности финансовых органов </t>
  </si>
  <si>
    <t>0106</t>
  </si>
  <si>
    <t xml:space="preserve"> Резервные фонды</t>
  </si>
  <si>
    <t>0111</t>
  </si>
  <si>
    <t xml:space="preserve"> Другие общегосударственные вопросы </t>
  </si>
  <si>
    <t>0113</t>
  </si>
  <si>
    <t>0300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</si>
  <si>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</si>
  <si>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</si>
  <si>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Обеспечение пожарной безопасности</t>
  </si>
  <si>
    <t>0310</t>
  </si>
  <si>
    <t>0400</t>
  </si>
  <si>
    <t>0401</t>
  </si>
  <si>
    <t>Дорожное хозяйство(дорожные фонды)</t>
  </si>
  <si>
    <t>0409</t>
  </si>
  <si>
    <t>0410</t>
  </si>
  <si>
    <t>0412</t>
  </si>
  <si>
    <t>0500</t>
  </si>
  <si>
    <t>0501</t>
  </si>
  <si>
    <t>0502</t>
  </si>
  <si>
    <t xml:space="preserve"> Благоустройство </t>
  </si>
  <si>
    <t>0503</t>
  </si>
  <si>
    <t>0700</t>
  </si>
  <si>
    <t xml:space="preserve"> Общее образование</t>
  </si>
  <si>
    <t>0702</t>
  </si>
  <si>
    <t>0707</t>
  </si>
  <si>
    <t>0800</t>
  </si>
  <si>
    <t xml:space="preserve"> Культура </t>
  </si>
  <si>
    <t>0801</t>
  </si>
  <si>
    <t>0802</t>
  </si>
  <si>
    <t xml:space="preserve"> Другие вопросы в области культуры, кинематографии</t>
  </si>
  <si>
    <t>0804</t>
  </si>
  <si>
    <t>1001</t>
  </si>
  <si>
    <t xml:space="preserve"> Физическая культура</t>
  </si>
  <si>
    <t>1201</t>
  </si>
  <si>
    <t>1202</t>
  </si>
  <si>
    <t>Обслуживание  государственного  и муниципального долга</t>
  </si>
  <si>
    <t>1300</t>
  </si>
  <si>
    <t>Обслуживание  государственного внутреннего и муниципального долга</t>
  </si>
  <si>
    <t>1301</t>
  </si>
  <si>
    <t>Исполнено за 1 полугодие 2013 года</t>
  </si>
  <si>
    <t>"Выставочная деятельность товарищества Гатчинских художников"</t>
  </si>
  <si>
    <t>"Постановка двух историко-бытовых танцев для ансамбля "Олимпия"</t>
  </si>
  <si>
    <t>Муниципальная поддержка кинематографии</t>
  </si>
  <si>
    <t>Муниципальная поддержка МКВП "Победа"</t>
  </si>
  <si>
    <t>Расходы на кинофестиваль "Литература и кино"</t>
  </si>
  <si>
    <t>Пособия и компенсации гражданам  и иные социальные выплаты, кроме публичных нормативных обязательств</t>
  </si>
  <si>
    <t>1008800</t>
  </si>
  <si>
    <t>Субсидии гражданам на приобретение жилья, в том числе:</t>
  </si>
  <si>
    <t>ФЦП "Жилище" на 2011-2015 годы",  подпрограмма "Обеспечение жильем молодых семей" (федеральный бюджет)</t>
  </si>
  <si>
    <t>ФЦП "Жилище" на 2011-2015 годы",  подпрограмма "Обеспечение жильем молодых семей" (местный бюджет)</t>
  </si>
  <si>
    <t xml:space="preserve"> Социальная помощь</t>
  </si>
  <si>
    <t xml:space="preserve"> Возмещение многодетным семьям расходов по оплате жилого помещения и коммунальных услуг</t>
  </si>
  <si>
    <t>Компенсация затрат в связи с предоставлением льготного проезда в городском автотранспорте</t>
  </si>
  <si>
    <t>Компенсация затрат в связи с предоставлением льгот за пользование услугами бань</t>
  </si>
  <si>
    <t>Компенсация затрат собственников при газификации индивидуальных жилых домов</t>
  </si>
  <si>
    <t xml:space="preserve"> Прочие мероприятия в области социальной политики</t>
  </si>
  <si>
    <t xml:space="preserve">Софинансирование за счет средств местного бюджета в рамках региональной ДЦП "О поддержке граждан, нуждающихся в улучшении жилищных условий, на основе принципов ипотечного кредитования в Ленинградской области на 2013-2015 годы" </t>
  </si>
  <si>
    <t xml:space="preserve">Софинансирование за счет средств местного бюджета в рамках региональной  ДЦП "Жилье для молодежи" на 2012-2015 годы"  </t>
  </si>
  <si>
    <t>ДЦП "Жилье для молодежи" на 2011-2015 годы"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</si>
  <si>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</si>
  <si>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ДЦП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</si>
  <si>
    <t xml:space="preserve"> Физическая культура </t>
  </si>
  <si>
    <t xml:space="preserve"> Центры спортивной подготовки (сборные команды)</t>
  </si>
  <si>
    <t>Телерадиокомпании и телеорганизации</t>
  </si>
  <si>
    <t xml:space="preserve"> Поддержка в сфере культуры, кинематографии и средств массовой информации (на возмещение затрат по публикации информационных материалов)</t>
  </si>
  <si>
    <t>Обслуживание внутреннего государственного  и муниципального долга</t>
  </si>
  <si>
    <t xml:space="preserve"> Процентные платежи по муниципальному долгу</t>
  </si>
  <si>
    <t>ВСЕГО РАСХОДОВ</t>
  </si>
  <si>
    <t xml:space="preserve"> "Об исполнении бюджета МО "Город Гатчина" за 1 полугодие  2013 года"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</si>
</sst>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6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164" fontId="5" fillId="0" borderId="14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164" fontId="6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164" fontId="6" fillId="0" borderId="5" xfId="0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64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5" sqref="A5:F5"/>
    </sheetView>
  </sheetViews>
  <sheetFormatPr defaultColWidth="9.00390625" defaultRowHeight="12.75"/>
  <cols>
    <col min="1" max="1" width="55.25390625" style="0" customWidth="1"/>
    <col min="2" max="2" width="7.625" style="0" customWidth="1"/>
    <col min="3" max="3" width="7.00390625" style="0" customWidth="1"/>
    <col min="4" max="4" width="9.375" style="0" customWidth="1"/>
    <col min="5" max="5" width="10.125" style="0" customWidth="1"/>
    <col min="6" max="6" width="7.75390625" style="0" customWidth="1"/>
  </cols>
  <sheetData>
    <row r="1" spans="1:7" ht="14.25" customHeight="1">
      <c r="A1" s="92" t="s">
        <v>253</v>
      </c>
      <c r="B1" s="92"/>
      <c r="C1" s="92"/>
      <c r="D1" s="92"/>
      <c r="E1" s="92"/>
      <c r="F1" s="92"/>
      <c r="G1" s="85"/>
    </row>
    <row r="2" spans="1:7" ht="15" customHeight="1">
      <c r="A2" s="91" t="s">
        <v>536</v>
      </c>
      <c r="B2" s="91"/>
      <c r="C2" s="91"/>
      <c r="D2" s="91"/>
      <c r="E2" s="91"/>
      <c r="F2" s="91"/>
      <c r="G2" s="86"/>
    </row>
    <row r="3" spans="1:7" ht="15" customHeight="1">
      <c r="A3" s="91" t="s">
        <v>655</v>
      </c>
      <c r="B3" s="91"/>
      <c r="C3" s="91"/>
      <c r="D3" s="91"/>
      <c r="E3" s="91"/>
      <c r="F3" s="91"/>
      <c r="G3" s="86"/>
    </row>
    <row r="4" spans="1:7" ht="15" customHeight="1">
      <c r="A4" s="1"/>
      <c r="B4" s="91" t="s">
        <v>184</v>
      </c>
      <c r="C4" s="91"/>
      <c r="D4" s="91"/>
      <c r="E4" s="91"/>
      <c r="F4" s="91"/>
      <c r="G4" s="86"/>
    </row>
    <row r="5" spans="1:7" ht="15" customHeight="1">
      <c r="A5" s="92" t="s">
        <v>577</v>
      </c>
      <c r="B5" s="92"/>
      <c r="C5" s="92"/>
      <c r="D5" s="92"/>
      <c r="E5" s="92"/>
      <c r="F5" s="92"/>
      <c r="G5" s="86"/>
    </row>
    <row r="6" spans="1:7" ht="15" customHeight="1">
      <c r="A6" s="91" t="s">
        <v>536</v>
      </c>
      <c r="B6" s="91"/>
      <c r="C6" s="91"/>
      <c r="D6" s="91"/>
      <c r="E6" s="91"/>
      <c r="F6" s="91"/>
      <c r="G6" s="86"/>
    </row>
    <row r="7" spans="1:7" ht="15" customHeight="1">
      <c r="A7" s="106" t="s">
        <v>254</v>
      </c>
      <c r="B7" s="106"/>
      <c r="C7" s="106"/>
      <c r="D7" s="106"/>
      <c r="E7" s="106"/>
      <c r="F7" s="106"/>
      <c r="G7" s="86"/>
    </row>
    <row r="8" spans="1:7" ht="15" customHeight="1">
      <c r="A8" s="1"/>
      <c r="B8" s="91" t="s">
        <v>255</v>
      </c>
      <c r="C8" s="91"/>
      <c r="D8" s="91"/>
      <c r="E8" s="91"/>
      <c r="F8" s="91"/>
      <c r="G8" s="86"/>
    </row>
    <row r="9" spans="1:6" ht="30.75" customHeight="1">
      <c r="A9" s="99" t="s">
        <v>417</v>
      </c>
      <c r="B9" s="99"/>
      <c r="C9" s="99"/>
      <c r="D9" s="99"/>
      <c r="E9" s="99"/>
      <c r="F9" s="99"/>
    </row>
    <row r="10" spans="1:6" ht="15" customHeight="1">
      <c r="A10" s="88"/>
      <c r="B10" s="88"/>
      <c r="C10" s="88"/>
      <c r="D10" s="88"/>
      <c r="E10" s="89" t="s">
        <v>418</v>
      </c>
      <c r="F10" s="88"/>
    </row>
    <row r="11" spans="1:6" ht="12.75" customHeight="1">
      <c r="A11" s="100" t="s">
        <v>0</v>
      </c>
      <c r="B11" s="103" t="s">
        <v>578</v>
      </c>
      <c r="C11" s="103" t="s">
        <v>419</v>
      </c>
      <c r="D11" s="93" t="s">
        <v>579</v>
      </c>
      <c r="E11" s="96" t="s">
        <v>626</v>
      </c>
      <c r="F11" s="96" t="s">
        <v>580</v>
      </c>
    </row>
    <row r="12" spans="1:6" ht="12.75" customHeight="1">
      <c r="A12" s="101"/>
      <c r="B12" s="104"/>
      <c r="C12" s="104"/>
      <c r="D12" s="94"/>
      <c r="E12" s="97"/>
      <c r="F12" s="97"/>
    </row>
    <row r="13" spans="1:6" ht="12.75">
      <c r="A13" s="101"/>
      <c r="B13" s="104"/>
      <c r="C13" s="104"/>
      <c r="D13" s="94"/>
      <c r="E13" s="97"/>
      <c r="F13" s="97"/>
    </row>
    <row r="14" spans="1:6" ht="12.75">
      <c r="A14" s="102"/>
      <c r="B14" s="105"/>
      <c r="C14" s="105"/>
      <c r="D14" s="95"/>
      <c r="E14" s="98"/>
      <c r="F14" s="98"/>
    </row>
    <row r="15" spans="1:6" ht="14.25" customHeight="1">
      <c r="A15" s="3" t="s">
        <v>1</v>
      </c>
      <c r="B15" s="6" t="s">
        <v>581</v>
      </c>
      <c r="C15" s="6"/>
      <c r="D15" s="79">
        <f>D16+D17+D18+D19+D20</f>
        <v>94136.8</v>
      </c>
      <c r="E15" s="79">
        <f>E16+E17+E18+E19+E20</f>
        <v>33346.9</v>
      </c>
      <c r="F15" s="79">
        <f>E15/D15*100</f>
        <v>35.42387249194789</v>
      </c>
    </row>
    <row r="16" spans="1:6" ht="27" customHeight="1">
      <c r="A16" s="15" t="s">
        <v>582</v>
      </c>
      <c r="B16" s="7"/>
      <c r="C16" s="7" t="s">
        <v>583</v>
      </c>
      <c r="D16" s="80">
        <f>'Прил.5 Функцион.'!F13</f>
        <v>6383.3</v>
      </c>
      <c r="E16" s="80">
        <f>'Прил.5 Функцион.'!G13</f>
        <v>3231.2</v>
      </c>
      <c r="F16" s="80">
        <f aca="true" t="shared" si="0" ref="F16:F51">E16/D16*100</f>
        <v>50.619585480864124</v>
      </c>
    </row>
    <row r="17" spans="1:6" ht="14.25" customHeight="1">
      <c r="A17" s="15" t="s">
        <v>584</v>
      </c>
      <c r="B17" s="7"/>
      <c r="C17" s="7" t="s">
        <v>585</v>
      </c>
      <c r="D17" s="80">
        <f>'Прил.5 Функцион.'!F24</f>
        <v>41791.299999999996</v>
      </c>
      <c r="E17" s="80">
        <f>'Прил.5 Функцион.'!G24</f>
        <v>18752.9</v>
      </c>
      <c r="F17" s="80">
        <f t="shared" si="0"/>
        <v>44.87273667007249</v>
      </c>
    </row>
    <row r="18" spans="1:6" ht="12" customHeight="1">
      <c r="A18" s="15" t="s">
        <v>586</v>
      </c>
      <c r="B18" s="7"/>
      <c r="C18" s="7" t="s">
        <v>587</v>
      </c>
      <c r="D18" s="80">
        <f>'Прил.5 Функцион.'!F43</f>
        <v>6011.900000000001</v>
      </c>
      <c r="E18" s="80">
        <f>'Прил.5 Функцион.'!G43</f>
        <v>2882.7</v>
      </c>
      <c r="F18" s="80">
        <f t="shared" si="0"/>
        <v>47.949899366256915</v>
      </c>
    </row>
    <row r="19" spans="1:6" ht="15" customHeight="1">
      <c r="A19" s="15" t="s">
        <v>588</v>
      </c>
      <c r="B19" s="7"/>
      <c r="C19" s="7" t="s">
        <v>589</v>
      </c>
      <c r="D19" s="80">
        <f>'Прил.5 Функцион.'!F55</f>
        <v>12000</v>
      </c>
      <c r="E19" s="80">
        <f>'Прил.5 Функцион.'!G55</f>
        <v>0</v>
      </c>
      <c r="F19" s="80">
        <f t="shared" si="0"/>
        <v>0</v>
      </c>
    </row>
    <row r="20" spans="1:6" ht="13.5" customHeight="1">
      <c r="A20" s="15" t="s">
        <v>590</v>
      </c>
      <c r="B20" s="7"/>
      <c r="C20" s="7" t="s">
        <v>591</v>
      </c>
      <c r="D20" s="80">
        <f>'Прил.5 Функцион.'!F62</f>
        <v>27950.3</v>
      </c>
      <c r="E20" s="80">
        <f>'Прил.5 Функцион.'!G62</f>
        <v>8480.1</v>
      </c>
      <c r="F20" s="80">
        <f t="shared" si="0"/>
        <v>30.339924795082702</v>
      </c>
    </row>
    <row r="21" spans="1:6" ht="25.5" customHeight="1">
      <c r="A21" s="3" t="s">
        <v>3</v>
      </c>
      <c r="B21" s="6" t="s">
        <v>592</v>
      </c>
      <c r="C21" s="6"/>
      <c r="D21" s="79">
        <f>D22+D23</f>
        <v>3317</v>
      </c>
      <c r="E21" s="79">
        <f>E22+E23</f>
        <v>771</v>
      </c>
      <c r="F21" s="79">
        <f t="shared" si="0"/>
        <v>23.24389508592101</v>
      </c>
    </row>
    <row r="22" spans="1:6" ht="29.25" customHeight="1">
      <c r="A22" s="15" t="s">
        <v>593</v>
      </c>
      <c r="B22" s="7"/>
      <c r="C22" s="7" t="s">
        <v>594</v>
      </c>
      <c r="D22" s="80">
        <f>'Прил.5 Функцион.'!F101</f>
        <v>920</v>
      </c>
      <c r="E22" s="80">
        <f>'Прил.5 Функцион.'!G101</f>
        <v>88.2</v>
      </c>
      <c r="F22" s="80">
        <f t="shared" si="0"/>
        <v>9.58695652173913</v>
      </c>
    </row>
    <row r="23" spans="1:6" ht="12" customHeight="1">
      <c r="A23" s="15" t="s">
        <v>595</v>
      </c>
      <c r="B23" s="7"/>
      <c r="C23" s="7" t="s">
        <v>596</v>
      </c>
      <c r="D23" s="80">
        <f>'Прил.5 Функцион.'!F108</f>
        <v>2397</v>
      </c>
      <c r="E23" s="80">
        <f>'Прил.5 Функцион.'!G108</f>
        <v>682.8</v>
      </c>
      <c r="F23" s="80">
        <f t="shared" si="0"/>
        <v>28.48560700876095</v>
      </c>
    </row>
    <row r="24" spans="1:6" ht="13.5" customHeight="1">
      <c r="A24" s="3" t="s">
        <v>4</v>
      </c>
      <c r="B24" s="6" t="s">
        <v>597</v>
      </c>
      <c r="C24" s="6"/>
      <c r="D24" s="79">
        <f>D25+D26+D27+D28</f>
        <v>211168.90000000002</v>
      </c>
      <c r="E24" s="79">
        <f>E25+E26+E27+E28</f>
        <v>33935</v>
      </c>
      <c r="F24" s="79">
        <f t="shared" si="0"/>
        <v>16.070074712706273</v>
      </c>
    </row>
    <row r="25" spans="1:6" ht="12.75" customHeight="1">
      <c r="A25" s="11" t="s">
        <v>141</v>
      </c>
      <c r="B25" s="6"/>
      <c r="C25" s="7" t="s">
        <v>598</v>
      </c>
      <c r="D25" s="80">
        <f>'Прил.5 Функцион.'!F114</f>
        <v>550</v>
      </c>
      <c r="E25" s="80">
        <f>'Прил.5 Функцион.'!G114</f>
        <v>0</v>
      </c>
      <c r="F25" s="80">
        <f t="shared" si="0"/>
        <v>0</v>
      </c>
    </row>
    <row r="26" spans="1:6" ht="13.5" customHeight="1">
      <c r="A26" s="11" t="s">
        <v>599</v>
      </c>
      <c r="B26" s="6"/>
      <c r="C26" s="7" t="s">
        <v>600</v>
      </c>
      <c r="D26" s="80">
        <f>'Прил.5 Функцион.'!F118</f>
        <v>206468.90000000002</v>
      </c>
      <c r="E26" s="80">
        <f>'Прил.5 Функцион.'!G118</f>
        <v>32124.600000000002</v>
      </c>
      <c r="F26" s="80">
        <f t="shared" si="0"/>
        <v>15.559050297647733</v>
      </c>
    </row>
    <row r="27" spans="1:6" ht="15.75" customHeight="1">
      <c r="A27" s="15" t="s">
        <v>112</v>
      </c>
      <c r="B27" s="7"/>
      <c r="C27" s="7" t="s">
        <v>601</v>
      </c>
      <c r="D27" s="80">
        <f>'Прил.5 Функцион.'!F143</f>
        <v>180</v>
      </c>
      <c r="E27" s="80">
        <f>'Прил.5 Функцион.'!G143</f>
        <v>17.3</v>
      </c>
      <c r="F27" s="80">
        <f t="shared" si="0"/>
        <v>9.611111111111112</v>
      </c>
    </row>
    <row r="28" spans="1:6" ht="14.25" customHeight="1">
      <c r="A28" s="15" t="s">
        <v>113</v>
      </c>
      <c r="B28" s="7"/>
      <c r="C28" s="7" t="s">
        <v>602</v>
      </c>
      <c r="D28" s="81">
        <f>'Прил.5 Функцион.'!F147</f>
        <v>3970</v>
      </c>
      <c r="E28" s="81">
        <f>'Прил.5 Функцион.'!G147</f>
        <v>1793.1</v>
      </c>
      <c r="F28" s="80">
        <f t="shared" si="0"/>
        <v>45.16624685138539</v>
      </c>
    </row>
    <row r="29" spans="1:6" ht="13.5" customHeight="1">
      <c r="A29" s="3" t="s">
        <v>5</v>
      </c>
      <c r="B29" s="6" t="s">
        <v>603</v>
      </c>
      <c r="C29" s="6"/>
      <c r="D29" s="79">
        <f>D30+D31+D32</f>
        <v>227697.7</v>
      </c>
      <c r="E29" s="79">
        <f>E30+E31+E32</f>
        <v>48469.09999999999</v>
      </c>
      <c r="F29" s="79">
        <f t="shared" si="0"/>
        <v>21.286600611249032</v>
      </c>
    </row>
    <row r="30" spans="1:6" ht="14.25" customHeight="1">
      <c r="A30" s="15" t="s">
        <v>135</v>
      </c>
      <c r="B30" s="7"/>
      <c r="C30" s="7" t="s">
        <v>604</v>
      </c>
      <c r="D30" s="80">
        <f>'Прил.5 Функцион.'!F158</f>
        <v>51765.6</v>
      </c>
      <c r="E30" s="80">
        <f>'Прил.5 Функцион.'!G158</f>
        <v>8105.7</v>
      </c>
      <c r="F30" s="80">
        <f t="shared" si="0"/>
        <v>15.658468171913395</v>
      </c>
    </row>
    <row r="31" spans="1:6" ht="15.75" customHeight="1">
      <c r="A31" s="15" t="s">
        <v>136</v>
      </c>
      <c r="B31" s="7"/>
      <c r="C31" s="7" t="s">
        <v>605</v>
      </c>
      <c r="D31" s="80">
        <f>'Прил.5 Функцион.'!F180</f>
        <v>71384</v>
      </c>
      <c r="E31" s="80">
        <f>'Прил.5 Функцион.'!G180</f>
        <v>2619.1000000000004</v>
      </c>
      <c r="F31" s="80">
        <f t="shared" si="0"/>
        <v>3.669029474392021</v>
      </c>
    </row>
    <row r="32" spans="1:6" ht="17.25" customHeight="1">
      <c r="A32" s="15" t="s">
        <v>606</v>
      </c>
      <c r="B32" s="7"/>
      <c r="C32" s="7" t="s">
        <v>607</v>
      </c>
      <c r="D32" s="80">
        <f>'Прил.5 Функцион.'!F210</f>
        <v>104548.1</v>
      </c>
      <c r="E32" s="80">
        <f>'Прил.5 Функцион.'!G210</f>
        <v>37744.299999999996</v>
      </c>
      <c r="F32" s="80">
        <f t="shared" si="0"/>
        <v>36.10232993234692</v>
      </c>
    </row>
    <row r="33" spans="1:6" ht="13.5" customHeight="1">
      <c r="A33" s="3" t="s">
        <v>6</v>
      </c>
      <c r="B33" s="6" t="s">
        <v>608</v>
      </c>
      <c r="C33" s="6"/>
      <c r="D33" s="79">
        <f>D34+D35</f>
        <v>14935.1</v>
      </c>
      <c r="E33" s="79">
        <f>E34+E35</f>
        <v>6985.6</v>
      </c>
      <c r="F33" s="79">
        <f t="shared" si="0"/>
        <v>46.77303801112815</v>
      </c>
    </row>
    <row r="34" spans="1:6" ht="13.5" customHeight="1">
      <c r="A34" s="11" t="s">
        <v>609</v>
      </c>
      <c r="B34" s="6"/>
      <c r="C34" s="7" t="s">
        <v>610</v>
      </c>
      <c r="D34" s="80">
        <f>'Прил.5 Функцион.'!F239</f>
        <v>9110.1</v>
      </c>
      <c r="E34" s="80">
        <f>'Прил.5 Функцион.'!G239</f>
        <v>4010.1</v>
      </c>
      <c r="F34" s="80">
        <f t="shared" si="0"/>
        <v>44.01817762702934</v>
      </c>
    </row>
    <row r="35" spans="1:6" ht="15" customHeight="1">
      <c r="A35" s="15" t="s">
        <v>126</v>
      </c>
      <c r="B35" s="7"/>
      <c r="C35" s="7" t="s">
        <v>611</v>
      </c>
      <c r="D35" s="80">
        <f>'Прил.5 Функцион.'!F245</f>
        <v>5825</v>
      </c>
      <c r="E35" s="80">
        <f>'Прил.5 Функцион.'!G245</f>
        <v>2975.5</v>
      </c>
      <c r="F35" s="80">
        <f t="shared" si="0"/>
        <v>51.081545064377686</v>
      </c>
    </row>
    <row r="36" spans="1:6" ht="15" customHeight="1">
      <c r="A36" s="3" t="s">
        <v>133</v>
      </c>
      <c r="B36" s="6" t="s">
        <v>612</v>
      </c>
      <c r="C36" s="6"/>
      <c r="D36" s="79">
        <f>D37+D38+D39</f>
        <v>213274.8</v>
      </c>
      <c r="E36" s="79">
        <f>E37+E38+E39</f>
        <v>45958.8</v>
      </c>
      <c r="F36" s="79">
        <f t="shared" si="0"/>
        <v>21.54910003432192</v>
      </c>
    </row>
    <row r="37" spans="1:6" ht="14.25" customHeight="1">
      <c r="A37" s="15" t="s">
        <v>613</v>
      </c>
      <c r="B37" s="7"/>
      <c r="C37" s="7" t="s">
        <v>614</v>
      </c>
      <c r="D37" s="80">
        <f>'Прил.5 Функцион.'!F256</f>
        <v>207146</v>
      </c>
      <c r="E37" s="80">
        <f>'Прил.5 Функцион.'!G256</f>
        <v>42511.3</v>
      </c>
      <c r="F37" s="80">
        <f t="shared" si="0"/>
        <v>20.522385177604203</v>
      </c>
    </row>
    <row r="38" spans="1:6" ht="12.75" customHeight="1">
      <c r="A38" s="15" t="s">
        <v>137</v>
      </c>
      <c r="B38" s="7"/>
      <c r="C38" s="7" t="s">
        <v>615</v>
      </c>
      <c r="D38" s="80">
        <f>'Прил.5 Функцион.'!F316</f>
        <v>1450</v>
      </c>
      <c r="E38" s="80">
        <f>'Прил.5 Функцион.'!G316</f>
        <v>1350</v>
      </c>
      <c r="F38" s="80">
        <f t="shared" si="0"/>
        <v>93.10344827586206</v>
      </c>
    </row>
    <row r="39" spans="1:6" ht="12.75" customHeight="1">
      <c r="A39" s="15" t="s">
        <v>616</v>
      </c>
      <c r="B39" s="7"/>
      <c r="C39" s="7" t="s">
        <v>617</v>
      </c>
      <c r="D39" s="80">
        <f>'Прил.5 Функцион.'!F325</f>
        <v>4678.8</v>
      </c>
      <c r="E39" s="80">
        <f>'Прил.5 Функцион.'!G325</f>
        <v>2097.4999999999995</v>
      </c>
      <c r="F39" s="80">
        <f t="shared" si="0"/>
        <v>44.82987090707018</v>
      </c>
    </row>
    <row r="40" spans="1:6" ht="15" customHeight="1">
      <c r="A40" s="3" t="s">
        <v>8</v>
      </c>
      <c r="B40" s="6">
        <v>1000</v>
      </c>
      <c r="C40" s="6"/>
      <c r="D40" s="79">
        <f>D41+D42</f>
        <v>46399.6</v>
      </c>
      <c r="E40" s="79">
        <f>E41+E42</f>
        <v>23006.9</v>
      </c>
      <c r="F40" s="79">
        <f t="shared" si="0"/>
        <v>49.58426365744533</v>
      </c>
    </row>
    <row r="41" spans="1:6" ht="14.25" customHeight="1">
      <c r="A41" s="11" t="s">
        <v>102</v>
      </c>
      <c r="B41" s="6"/>
      <c r="C41" s="7" t="s">
        <v>618</v>
      </c>
      <c r="D41" s="80">
        <f>'Прил.5 Функцион.'!F334</f>
        <v>1200</v>
      </c>
      <c r="E41" s="80">
        <f>'Прил.5 Функцион.'!G334</f>
        <v>498.4</v>
      </c>
      <c r="F41" s="80">
        <f t="shared" si="0"/>
        <v>41.53333333333333</v>
      </c>
    </row>
    <row r="42" spans="1:6" ht="12.75" customHeight="1">
      <c r="A42" s="20" t="s">
        <v>107</v>
      </c>
      <c r="B42" s="32"/>
      <c r="C42" s="32">
        <v>1003</v>
      </c>
      <c r="D42" s="80">
        <f>'Прил.5 Функцион.'!F338</f>
        <v>45199.6</v>
      </c>
      <c r="E42" s="80">
        <f>'Прил.5 Функцион.'!G338</f>
        <v>22508.5</v>
      </c>
      <c r="F42" s="80">
        <f t="shared" si="0"/>
        <v>49.7980070620094</v>
      </c>
    </row>
    <row r="43" spans="1:6" ht="13.5" customHeight="1">
      <c r="A43" s="82" t="s">
        <v>7</v>
      </c>
      <c r="B43" s="82">
        <v>1100</v>
      </c>
      <c r="C43" s="82"/>
      <c r="D43" s="79">
        <f>D44+D45</f>
        <v>22328.4</v>
      </c>
      <c r="E43" s="79">
        <f>E44+E45</f>
        <v>9751.6</v>
      </c>
      <c r="F43" s="79">
        <f t="shared" si="0"/>
        <v>43.67352788377134</v>
      </c>
    </row>
    <row r="44" spans="1:6" ht="14.25" customHeight="1">
      <c r="A44" s="20" t="s">
        <v>619</v>
      </c>
      <c r="B44" s="32"/>
      <c r="C44" s="32">
        <v>1101</v>
      </c>
      <c r="D44" s="80">
        <f>'Прил.5 Функцион.'!F393</f>
        <v>18728.4</v>
      </c>
      <c r="E44" s="80">
        <f>'Прил.5 Функцион.'!G393</f>
        <v>8340</v>
      </c>
      <c r="F44" s="80">
        <f t="shared" si="0"/>
        <v>44.53130005766643</v>
      </c>
    </row>
    <row r="45" spans="1:6" ht="13.5" customHeight="1">
      <c r="A45" s="20" t="s">
        <v>138</v>
      </c>
      <c r="B45" s="32"/>
      <c r="C45" s="32">
        <v>1102</v>
      </c>
      <c r="D45" s="80">
        <f>'Прил.5 Функцион.'!F399</f>
        <v>3600</v>
      </c>
      <c r="E45" s="80">
        <f>'Прил.5 Функцион.'!G399</f>
        <v>1411.6</v>
      </c>
      <c r="F45" s="80">
        <f t="shared" si="0"/>
        <v>39.21111111111111</v>
      </c>
    </row>
    <row r="46" spans="1:6" ht="13.5" customHeight="1">
      <c r="A46" s="25" t="s">
        <v>134</v>
      </c>
      <c r="B46" s="82">
        <v>1200</v>
      </c>
      <c r="C46" s="82"/>
      <c r="D46" s="79">
        <f>D47+D48</f>
        <v>1360</v>
      </c>
      <c r="E46" s="79">
        <f>E47+E48</f>
        <v>728.1</v>
      </c>
      <c r="F46" s="79">
        <f t="shared" si="0"/>
        <v>53.536764705882355</v>
      </c>
    </row>
    <row r="47" spans="1:6" ht="14.25" customHeight="1">
      <c r="A47" s="15" t="s">
        <v>139</v>
      </c>
      <c r="B47" s="7"/>
      <c r="C47" s="7" t="s">
        <v>620</v>
      </c>
      <c r="D47" s="80">
        <f>'Прил.5 Функцион.'!F408</f>
        <v>660</v>
      </c>
      <c r="E47" s="80">
        <f>'Прил.5 Функцион.'!G408</f>
        <v>238.4</v>
      </c>
      <c r="F47" s="80">
        <f t="shared" si="0"/>
        <v>36.12121212121212</v>
      </c>
    </row>
    <row r="48" spans="1:6" ht="14.25" customHeight="1">
      <c r="A48" s="15" t="s">
        <v>140</v>
      </c>
      <c r="B48" s="7"/>
      <c r="C48" s="7" t="s">
        <v>621</v>
      </c>
      <c r="D48" s="80">
        <f>'Прил.5 Функцион.'!F412</f>
        <v>700</v>
      </c>
      <c r="E48" s="80">
        <f>'Прил.5 Функцион.'!G412</f>
        <v>489.7</v>
      </c>
      <c r="F48" s="80">
        <f t="shared" si="0"/>
        <v>69.95714285714286</v>
      </c>
    </row>
    <row r="49" spans="1:6" ht="27" customHeight="1">
      <c r="A49" s="3" t="s">
        <v>622</v>
      </c>
      <c r="B49" s="6" t="s">
        <v>623</v>
      </c>
      <c r="C49" s="6"/>
      <c r="D49" s="79">
        <v>350</v>
      </c>
      <c r="E49" s="79">
        <v>0</v>
      </c>
      <c r="F49" s="79">
        <f t="shared" si="0"/>
        <v>0</v>
      </c>
    </row>
    <row r="50" spans="1:6" ht="27.75" customHeight="1">
      <c r="A50" s="11" t="s">
        <v>624</v>
      </c>
      <c r="B50" s="7"/>
      <c r="C50" s="7" t="s">
        <v>625</v>
      </c>
      <c r="D50" s="80">
        <f>'Прил.5 Функцион.'!F416</f>
        <v>350</v>
      </c>
      <c r="E50" s="80">
        <f>'Прил.5 Функцион.'!G416</f>
        <v>0</v>
      </c>
      <c r="F50" s="80">
        <f t="shared" si="0"/>
        <v>0</v>
      </c>
    </row>
    <row r="51" spans="1:6" ht="19.5" customHeight="1">
      <c r="A51" s="83" t="s">
        <v>654</v>
      </c>
      <c r="B51" s="19"/>
      <c r="C51" s="19"/>
      <c r="D51" s="84">
        <f>D46+D43+D40+D36+D29+D24+D21+D15+D33+D49</f>
        <v>834968.3</v>
      </c>
      <c r="E51" s="84">
        <f>E46+E43+E40+E36+E29+E24+E21+E15+E33+E49</f>
        <v>202953</v>
      </c>
      <c r="F51" s="79">
        <f t="shared" si="0"/>
        <v>24.306671283209194</v>
      </c>
    </row>
  </sheetData>
  <mergeCells count="15">
    <mergeCell ref="A5:F5"/>
    <mergeCell ref="A6:F6"/>
    <mergeCell ref="A7:F7"/>
    <mergeCell ref="B8:F8"/>
    <mergeCell ref="D11:D14"/>
    <mergeCell ref="E11:E14"/>
    <mergeCell ref="F11:F14"/>
    <mergeCell ref="A9:F9"/>
    <mergeCell ref="A11:A14"/>
    <mergeCell ref="B11:B14"/>
    <mergeCell ref="C11:C14"/>
    <mergeCell ref="A2:F2"/>
    <mergeCell ref="B4:F4"/>
    <mergeCell ref="A1:F1"/>
    <mergeCell ref="A3:F3"/>
  </mergeCells>
  <printOptions/>
  <pageMargins left="0.56" right="0.2" top="0.44" bottom="0.31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0"/>
  <sheetViews>
    <sheetView workbookViewId="0" topLeftCell="A1">
      <selection activeCell="B5" sqref="B5:G5"/>
    </sheetView>
  </sheetViews>
  <sheetFormatPr defaultColWidth="9.00390625" defaultRowHeight="12.75" outlineLevelRow="1"/>
  <cols>
    <col min="1" max="1" width="33.625" style="0" customWidth="1"/>
    <col min="2" max="5" width="9.75390625" style="0" bestFit="1" customWidth="1"/>
    <col min="6" max="6" width="11.25390625" style="0" customWidth="1"/>
    <col min="7" max="7" width="12.125" style="0" customWidth="1"/>
  </cols>
  <sheetData>
    <row r="1" spans="2:7" ht="15.75">
      <c r="B1" s="92" t="s">
        <v>256</v>
      </c>
      <c r="C1" s="92"/>
      <c r="D1" s="92"/>
      <c r="E1" s="92"/>
      <c r="F1" s="92"/>
      <c r="G1" s="92"/>
    </row>
    <row r="2" spans="2:7" ht="15.75">
      <c r="B2" s="91" t="s">
        <v>536</v>
      </c>
      <c r="C2" s="91"/>
      <c r="D2" s="91"/>
      <c r="E2" s="91"/>
      <c r="F2" s="91"/>
      <c r="G2" s="91"/>
    </row>
    <row r="3" spans="1:7" ht="15.75">
      <c r="A3" s="91" t="s">
        <v>655</v>
      </c>
      <c r="B3" s="91"/>
      <c r="C3" s="91"/>
      <c r="D3" s="91"/>
      <c r="E3" s="91"/>
      <c r="F3" s="91"/>
      <c r="G3" s="91"/>
    </row>
    <row r="4" spans="2:7" ht="15.75">
      <c r="B4" s="91" t="s">
        <v>84</v>
      </c>
      <c r="C4" s="91"/>
      <c r="D4" s="91"/>
      <c r="E4" s="91"/>
      <c r="F4" s="91"/>
      <c r="G4" s="91"/>
    </row>
    <row r="5" spans="1:7" ht="15.75">
      <c r="A5" s="1"/>
      <c r="B5" s="92" t="s">
        <v>535</v>
      </c>
      <c r="C5" s="92"/>
      <c r="D5" s="92"/>
      <c r="E5" s="92"/>
      <c r="F5" s="92"/>
      <c r="G5" s="92"/>
    </row>
    <row r="6" spans="1:7" ht="15.75">
      <c r="A6" s="1"/>
      <c r="B6" s="91" t="s">
        <v>536</v>
      </c>
      <c r="C6" s="91"/>
      <c r="D6" s="91"/>
      <c r="E6" s="91"/>
      <c r="F6" s="91"/>
      <c r="G6" s="91"/>
    </row>
    <row r="7" spans="1:7" ht="15.75">
      <c r="A7" s="91" t="s">
        <v>257</v>
      </c>
      <c r="B7" s="91"/>
      <c r="C7" s="91"/>
      <c r="D7" s="91"/>
      <c r="E7" s="91"/>
      <c r="F7" s="91"/>
      <c r="G7" s="91"/>
    </row>
    <row r="8" spans="1:7" ht="15.75">
      <c r="A8" s="1"/>
      <c r="B8" s="91" t="s">
        <v>258</v>
      </c>
      <c r="C8" s="91"/>
      <c r="D8" s="91"/>
      <c r="E8" s="91"/>
      <c r="F8" s="91"/>
      <c r="G8" s="91"/>
    </row>
    <row r="9" spans="1:7" ht="54" customHeight="1" thickBot="1">
      <c r="A9" s="107" t="s">
        <v>394</v>
      </c>
      <c r="B9" s="107"/>
      <c r="C9" s="107"/>
      <c r="D9" s="107"/>
      <c r="E9" s="107"/>
      <c r="F9" s="107"/>
      <c r="G9" s="107"/>
    </row>
    <row r="10" spans="1:7" ht="69.75" customHeight="1">
      <c r="A10" s="50" t="s">
        <v>0</v>
      </c>
      <c r="B10" s="51" t="s">
        <v>95</v>
      </c>
      <c r="C10" s="51" t="s">
        <v>537</v>
      </c>
      <c r="D10" s="51" t="s">
        <v>443</v>
      </c>
      <c r="E10" s="51" t="s">
        <v>561</v>
      </c>
      <c r="F10" s="52" t="s">
        <v>393</v>
      </c>
      <c r="G10" s="76" t="s">
        <v>534</v>
      </c>
    </row>
    <row r="11" spans="1:7" ht="12.75">
      <c r="A11" s="53">
        <v>1</v>
      </c>
      <c r="B11" s="54">
        <v>2</v>
      </c>
      <c r="C11" s="54">
        <v>3</v>
      </c>
      <c r="D11" s="55">
        <v>4</v>
      </c>
      <c r="E11" s="55">
        <v>5</v>
      </c>
      <c r="F11" s="56">
        <v>6</v>
      </c>
      <c r="G11" s="56">
        <v>7</v>
      </c>
    </row>
    <row r="12" spans="1:7" ht="31.5">
      <c r="A12" s="57" t="s">
        <v>1</v>
      </c>
      <c r="B12" s="6" t="s">
        <v>193</v>
      </c>
      <c r="C12" s="6" t="s">
        <v>194</v>
      </c>
      <c r="D12" s="58"/>
      <c r="E12" s="58"/>
      <c r="F12" s="59">
        <f>F13+F24+F43+F55+F62</f>
        <v>94136.8</v>
      </c>
      <c r="G12" s="59">
        <f>G13+G24+G43+G55+G62</f>
        <v>33346.9</v>
      </c>
    </row>
    <row r="13" spans="1:7" ht="93.75" customHeight="1">
      <c r="A13" s="60" t="s">
        <v>189</v>
      </c>
      <c r="B13" s="7" t="s">
        <v>193</v>
      </c>
      <c r="C13" s="7" t="s">
        <v>195</v>
      </c>
      <c r="D13" s="7"/>
      <c r="E13" s="7"/>
      <c r="F13" s="61">
        <f>F14</f>
        <v>6383.3</v>
      </c>
      <c r="G13" s="61">
        <f>G14</f>
        <v>3231.2</v>
      </c>
    </row>
    <row r="14" spans="1:7" ht="75">
      <c r="A14" s="36" t="s">
        <v>190</v>
      </c>
      <c r="B14" s="7" t="s">
        <v>193</v>
      </c>
      <c r="C14" s="7" t="s">
        <v>195</v>
      </c>
      <c r="D14" s="7" t="s">
        <v>18</v>
      </c>
      <c r="E14" s="7"/>
      <c r="F14" s="61">
        <f>F15+F21</f>
        <v>6383.3</v>
      </c>
      <c r="G14" s="61">
        <f>G15+G21</f>
        <v>3231.2</v>
      </c>
    </row>
    <row r="15" spans="1:7" ht="15">
      <c r="A15" s="36" t="s">
        <v>526</v>
      </c>
      <c r="B15" s="7" t="s">
        <v>193</v>
      </c>
      <c r="C15" s="7" t="s">
        <v>195</v>
      </c>
      <c r="D15" s="7" t="s">
        <v>15</v>
      </c>
      <c r="E15" s="7"/>
      <c r="F15" s="61">
        <f>F16</f>
        <v>2853.8</v>
      </c>
      <c r="G15" s="61">
        <f>G16</f>
        <v>1506</v>
      </c>
    </row>
    <row r="16" spans="1:7" ht="30">
      <c r="A16" s="36" t="s">
        <v>527</v>
      </c>
      <c r="B16" s="7" t="s">
        <v>193</v>
      </c>
      <c r="C16" s="7" t="s">
        <v>195</v>
      </c>
      <c r="D16" s="7" t="s">
        <v>191</v>
      </c>
      <c r="E16" s="7"/>
      <c r="F16" s="61">
        <f>F17+F18+F19+F20</f>
        <v>2853.8</v>
      </c>
      <c r="G16" s="61">
        <f>G17+G18+G19+G20</f>
        <v>1506</v>
      </c>
    </row>
    <row r="17" spans="1:7" ht="30">
      <c r="A17" s="36" t="s">
        <v>494</v>
      </c>
      <c r="B17" s="7" t="s">
        <v>193</v>
      </c>
      <c r="C17" s="7" t="s">
        <v>195</v>
      </c>
      <c r="D17" s="7" t="s">
        <v>191</v>
      </c>
      <c r="E17" s="7" t="s">
        <v>470</v>
      </c>
      <c r="F17" s="61">
        <v>1597.2</v>
      </c>
      <c r="G17" s="61">
        <f>'Прил.8 Ведомств.'!H421</f>
        <v>786.5</v>
      </c>
    </row>
    <row r="18" spans="1:7" ht="30">
      <c r="A18" s="36" t="s">
        <v>538</v>
      </c>
      <c r="B18" s="7" t="s">
        <v>193</v>
      </c>
      <c r="C18" s="7" t="s">
        <v>195</v>
      </c>
      <c r="D18" s="7" t="s">
        <v>191</v>
      </c>
      <c r="E18" s="7" t="s">
        <v>471</v>
      </c>
      <c r="F18" s="61">
        <v>0.6</v>
      </c>
      <c r="G18" s="61">
        <f>'Прил.8 Ведомств.'!H422</f>
        <v>0</v>
      </c>
    </row>
    <row r="19" spans="1:7" ht="45">
      <c r="A19" s="36" t="s">
        <v>484</v>
      </c>
      <c r="B19" s="7" t="s">
        <v>193</v>
      </c>
      <c r="C19" s="7" t="s">
        <v>195</v>
      </c>
      <c r="D19" s="7" t="s">
        <v>191</v>
      </c>
      <c r="E19" s="7" t="s">
        <v>483</v>
      </c>
      <c r="F19" s="61">
        <v>128.4</v>
      </c>
      <c r="G19" s="61">
        <f>'Прил.8 Ведомств.'!H423</f>
        <v>56.9</v>
      </c>
    </row>
    <row r="20" spans="1:7" ht="30">
      <c r="A20" s="36" t="s">
        <v>467</v>
      </c>
      <c r="B20" s="7" t="s">
        <v>193</v>
      </c>
      <c r="C20" s="7" t="s">
        <v>195</v>
      </c>
      <c r="D20" s="7" t="s">
        <v>191</v>
      </c>
      <c r="E20" s="7" t="s">
        <v>466</v>
      </c>
      <c r="F20" s="61">
        <v>1127.6</v>
      </c>
      <c r="G20" s="61">
        <f>'Прил.8 Ведомств.'!H424</f>
        <v>662.6</v>
      </c>
    </row>
    <row r="21" spans="1:7" ht="30" customHeight="1">
      <c r="A21" s="36" t="s">
        <v>11</v>
      </c>
      <c r="B21" s="7" t="s">
        <v>193</v>
      </c>
      <c r="C21" s="7" t="s">
        <v>195</v>
      </c>
      <c r="D21" s="7" t="s">
        <v>12</v>
      </c>
      <c r="E21" s="7"/>
      <c r="F21" s="61">
        <f>F22+F23</f>
        <v>3529.5</v>
      </c>
      <c r="G21" s="61">
        <f>G22+G23</f>
        <v>1725.1999999999998</v>
      </c>
    </row>
    <row r="22" spans="1:7" ht="30">
      <c r="A22" s="36" t="s">
        <v>494</v>
      </c>
      <c r="B22" s="7" t="s">
        <v>193</v>
      </c>
      <c r="C22" s="7" t="s">
        <v>195</v>
      </c>
      <c r="D22" s="7" t="s">
        <v>12</v>
      </c>
      <c r="E22" s="7" t="s">
        <v>470</v>
      </c>
      <c r="F22" s="61">
        <v>981.9</v>
      </c>
      <c r="G22" s="61">
        <f>'Прил.8 Ведомств.'!H426</f>
        <v>551.4</v>
      </c>
    </row>
    <row r="23" spans="1:7" ht="30">
      <c r="A23" s="36" t="s">
        <v>538</v>
      </c>
      <c r="B23" s="7" t="s">
        <v>193</v>
      </c>
      <c r="C23" s="7" t="s">
        <v>195</v>
      </c>
      <c r="D23" s="7" t="s">
        <v>12</v>
      </c>
      <c r="E23" s="7" t="s">
        <v>471</v>
      </c>
      <c r="F23" s="61">
        <v>2547.6</v>
      </c>
      <c r="G23" s="61">
        <f>'Прил.8 Ведомств.'!H427</f>
        <v>1173.8</v>
      </c>
    </row>
    <row r="24" spans="1:7" ht="126">
      <c r="A24" s="60" t="s">
        <v>539</v>
      </c>
      <c r="B24" s="7" t="s">
        <v>193</v>
      </c>
      <c r="C24" s="7" t="s">
        <v>196</v>
      </c>
      <c r="D24" s="7"/>
      <c r="E24" s="7"/>
      <c r="F24" s="61">
        <f>F25+F38+F41</f>
        <v>41791.299999999996</v>
      </c>
      <c r="G24" s="61">
        <f>G25+G38+G41</f>
        <v>18752.9</v>
      </c>
    </row>
    <row r="25" spans="1:7" ht="75">
      <c r="A25" s="36" t="s">
        <v>190</v>
      </c>
      <c r="B25" s="7" t="s">
        <v>193</v>
      </c>
      <c r="C25" s="7" t="s">
        <v>196</v>
      </c>
      <c r="D25" s="7" t="s">
        <v>18</v>
      </c>
      <c r="E25" s="7"/>
      <c r="F25" s="61">
        <f>F26+F35</f>
        <v>40147.1</v>
      </c>
      <c r="G25" s="61">
        <f>G26+G35</f>
        <v>18048</v>
      </c>
    </row>
    <row r="26" spans="1:7" ht="15">
      <c r="A26" s="36" t="s">
        <v>526</v>
      </c>
      <c r="B26" s="7" t="s">
        <v>193</v>
      </c>
      <c r="C26" s="7" t="s">
        <v>196</v>
      </c>
      <c r="D26" s="7" t="s">
        <v>15</v>
      </c>
      <c r="E26" s="7"/>
      <c r="F26" s="61">
        <f>F27+F33</f>
        <v>38888.1</v>
      </c>
      <c r="G26" s="61">
        <f>G27+G33</f>
        <v>17437.3</v>
      </c>
    </row>
    <row r="27" spans="1:7" ht="30">
      <c r="A27" s="36" t="s">
        <v>527</v>
      </c>
      <c r="B27" s="7" t="s">
        <v>193</v>
      </c>
      <c r="C27" s="7" t="s">
        <v>196</v>
      </c>
      <c r="D27" s="7" t="s">
        <v>191</v>
      </c>
      <c r="E27" s="7"/>
      <c r="F27" s="61">
        <f>F28+F29+F30+F31+F32</f>
        <v>37124.6</v>
      </c>
      <c r="G27" s="61">
        <f>G28+G29+G30+G31+G32</f>
        <v>16749.2</v>
      </c>
    </row>
    <row r="28" spans="1:7" ht="30">
      <c r="A28" s="36" t="s">
        <v>494</v>
      </c>
      <c r="B28" s="7" t="s">
        <v>193</v>
      </c>
      <c r="C28" s="7" t="s">
        <v>196</v>
      </c>
      <c r="D28" s="7" t="s">
        <v>191</v>
      </c>
      <c r="E28" s="7" t="s">
        <v>470</v>
      </c>
      <c r="F28" s="61">
        <v>29649.1</v>
      </c>
      <c r="G28" s="61">
        <f>'Прил.8 Ведомств.'!H49</f>
        <v>12722.2</v>
      </c>
    </row>
    <row r="29" spans="1:7" ht="30">
      <c r="A29" s="36" t="s">
        <v>538</v>
      </c>
      <c r="B29" s="7" t="s">
        <v>193</v>
      </c>
      <c r="C29" s="7" t="s">
        <v>196</v>
      </c>
      <c r="D29" s="7" t="s">
        <v>191</v>
      </c>
      <c r="E29" s="7" t="s">
        <v>471</v>
      </c>
      <c r="F29" s="61">
        <v>100</v>
      </c>
      <c r="G29" s="61">
        <f>'Прил.8 Ведомств.'!H50</f>
        <v>4</v>
      </c>
    </row>
    <row r="30" spans="1:7" ht="45">
      <c r="A30" s="36" t="s">
        <v>484</v>
      </c>
      <c r="B30" s="7" t="s">
        <v>193</v>
      </c>
      <c r="C30" s="7" t="s">
        <v>196</v>
      </c>
      <c r="D30" s="7" t="s">
        <v>191</v>
      </c>
      <c r="E30" s="7" t="s">
        <v>483</v>
      </c>
      <c r="F30" s="61">
        <v>1137</v>
      </c>
      <c r="G30" s="61">
        <f>'Прил.8 Ведомств.'!H51</f>
        <v>543.1</v>
      </c>
    </row>
    <row r="31" spans="1:7" ht="30">
      <c r="A31" s="36" t="s">
        <v>467</v>
      </c>
      <c r="B31" s="7" t="s">
        <v>193</v>
      </c>
      <c r="C31" s="7" t="s">
        <v>196</v>
      </c>
      <c r="D31" s="7" t="s">
        <v>191</v>
      </c>
      <c r="E31" s="7" t="s">
        <v>466</v>
      </c>
      <c r="F31" s="61">
        <f>6039.5+150</f>
        <v>6189.5</v>
      </c>
      <c r="G31" s="61">
        <f>'Прил.8 Ведомств.'!H52</f>
        <v>3455.8</v>
      </c>
    </row>
    <row r="32" spans="1:7" ht="30">
      <c r="A32" s="36" t="s">
        <v>473</v>
      </c>
      <c r="B32" s="7" t="s">
        <v>193</v>
      </c>
      <c r="C32" s="7" t="s">
        <v>196</v>
      </c>
      <c r="D32" s="7" t="s">
        <v>191</v>
      </c>
      <c r="E32" s="7" t="s">
        <v>472</v>
      </c>
      <c r="F32" s="61">
        <v>49</v>
      </c>
      <c r="G32" s="61">
        <f>'Прил.8 Ведомств.'!H53</f>
        <v>24.1</v>
      </c>
    </row>
    <row r="33" spans="1:7" ht="30">
      <c r="A33" s="36" t="s">
        <v>528</v>
      </c>
      <c r="B33" s="7" t="s">
        <v>193</v>
      </c>
      <c r="C33" s="7" t="s">
        <v>196</v>
      </c>
      <c r="D33" s="7" t="s">
        <v>96</v>
      </c>
      <c r="E33" s="7"/>
      <c r="F33" s="61">
        <f>F34</f>
        <v>1763.5</v>
      </c>
      <c r="G33" s="61">
        <f>G34</f>
        <v>688.1</v>
      </c>
    </row>
    <row r="34" spans="1:7" ht="30">
      <c r="A34" s="36" t="s">
        <v>494</v>
      </c>
      <c r="B34" s="7" t="s">
        <v>193</v>
      </c>
      <c r="C34" s="7" t="s">
        <v>196</v>
      </c>
      <c r="D34" s="7" t="s">
        <v>96</v>
      </c>
      <c r="E34" s="7" t="s">
        <v>470</v>
      </c>
      <c r="F34" s="61">
        <v>1763.5</v>
      </c>
      <c r="G34" s="61">
        <f>'Прил.8 Ведомств.'!H55</f>
        <v>688.1</v>
      </c>
    </row>
    <row r="35" spans="1:7" ht="60">
      <c r="A35" s="36" t="s">
        <v>16</v>
      </c>
      <c r="B35" s="7" t="s">
        <v>193</v>
      </c>
      <c r="C35" s="7" t="s">
        <v>196</v>
      </c>
      <c r="D35" s="7" t="s">
        <v>17</v>
      </c>
      <c r="E35" s="7"/>
      <c r="F35" s="61">
        <f>F36+F37</f>
        <v>1259</v>
      </c>
      <c r="G35" s="61">
        <f>G36+G37</f>
        <v>610.6999999999999</v>
      </c>
    </row>
    <row r="36" spans="1:7" ht="30">
      <c r="A36" s="36" t="s">
        <v>494</v>
      </c>
      <c r="B36" s="7" t="s">
        <v>193</v>
      </c>
      <c r="C36" s="7" t="s">
        <v>196</v>
      </c>
      <c r="D36" s="7" t="s">
        <v>17</v>
      </c>
      <c r="E36" s="7" t="s">
        <v>470</v>
      </c>
      <c r="F36" s="61">
        <v>1199</v>
      </c>
      <c r="G36" s="61">
        <f>'Прил.8 Ведомств.'!H57</f>
        <v>610.4</v>
      </c>
    </row>
    <row r="37" spans="1:7" ht="30">
      <c r="A37" s="36" t="s">
        <v>538</v>
      </c>
      <c r="B37" s="7" t="s">
        <v>193</v>
      </c>
      <c r="C37" s="7" t="s">
        <v>196</v>
      </c>
      <c r="D37" s="7" t="s">
        <v>17</v>
      </c>
      <c r="E37" s="7" t="s">
        <v>471</v>
      </c>
      <c r="F37" s="61">
        <v>60</v>
      </c>
      <c r="G37" s="61">
        <f>'Прил.8 Ведомств.'!H58</f>
        <v>0.3</v>
      </c>
    </row>
    <row r="38" spans="1:7" ht="90">
      <c r="A38" s="36" t="s">
        <v>346</v>
      </c>
      <c r="B38" s="7" t="s">
        <v>193</v>
      </c>
      <c r="C38" s="7" t="s">
        <v>196</v>
      </c>
      <c r="D38" s="7" t="s">
        <v>348</v>
      </c>
      <c r="E38" s="7"/>
      <c r="F38" s="61">
        <f>F39+F40</f>
        <v>1634.1999999999998</v>
      </c>
      <c r="G38" s="61">
        <f>G39+G40</f>
        <v>704</v>
      </c>
    </row>
    <row r="39" spans="1:7" ht="30">
      <c r="A39" s="36" t="s">
        <v>494</v>
      </c>
      <c r="B39" s="7" t="s">
        <v>193</v>
      </c>
      <c r="C39" s="7" t="s">
        <v>196</v>
      </c>
      <c r="D39" s="7" t="s">
        <v>348</v>
      </c>
      <c r="E39" s="7" t="s">
        <v>470</v>
      </c>
      <c r="F39" s="61">
        <v>1558.6</v>
      </c>
      <c r="G39" s="61">
        <f>'Прил.8 Ведомств.'!H60</f>
        <v>679.6</v>
      </c>
    </row>
    <row r="40" spans="1:7" ht="30">
      <c r="A40" s="36" t="s">
        <v>467</v>
      </c>
      <c r="B40" s="7" t="s">
        <v>193</v>
      </c>
      <c r="C40" s="7" t="s">
        <v>196</v>
      </c>
      <c r="D40" s="7" t="s">
        <v>348</v>
      </c>
      <c r="E40" s="7" t="s">
        <v>466</v>
      </c>
      <c r="F40" s="61">
        <v>75.6</v>
      </c>
      <c r="G40" s="61">
        <f>'Прил.8 Ведомств.'!H61</f>
        <v>24.4</v>
      </c>
    </row>
    <row r="41" spans="1:7" ht="61.5" customHeight="1">
      <c r="A41" s="36" t="s">
        <v>347</v>
      </c>
      <c r="B41" s="7" t="s">
        <v>193</v>
      </c>
      <c r="C41" s="7" t="s">
        <v>196</v>
      </c>
      <c r="D41" s="7" t="s">
        <v>349</v>
      </c>
      <c r="E41" s="7"/>
      <c r="F41" s="61">
        <f>F42</f>
        <v>10</v>
      </c>
      <c r="G41" s="61">
        <f>G42</f>
        <v>0.9</v>
      </c>
    </row>
    <row r="42" spans="1:7" ht="30">
      <c r="A42" s="36" t="s">
        <v>467</v>
      </c>
      <c r="B42" s="7" t="s">
        <v>193</v>
      </c>
      <c r="C42" s="7" t="s">
        <v>196</v>
      </c>
      <c r="D42" s="7" t="s">
        <v>349</v>
      </c>
      <c r="E42" s="7" t="s">
        <v>466</v>
      </c>
      <c r="F42" s="61">
        <v>10</v>
      </c>
      <c r="G42" s="61">
        <f>'Прил.8 Ведомств.'!H63</f>
        <v>0.9</v>
      </c>
    </row>
    <row r="43" spans="1:7" ht="78.75">
      <c r="A43" s="60" t="s">
        <v>202</v>
      </c>
      <c r="B43" s="7" t="s">
        <v>193</v>
      </c>
      <c r="C43" s="7" t="s">
        <v>197</v>
      </c>
      <c r="D43" s="7"/>
      <c r="E43" s="7"/>
      <c r="F43" s="61">
        <f>F44+F52</f>
        <v>6011.900000000001</v>
      </c>
      <c r="G43" s="61">
        <f>G44+G52</f>
        <v>2882.7</v>
      </c>
    </row>
    <row r="44" spans="1:7" ht="75">
      <c r="A44" s="36" t="s">
        <v>190</v>
      </c>
      <c r="B44" s="7" t="s">
        <v>193</v>
      </c>
      <c r="C44" s="7" t="s">
        <v>197</v>
      </c>
      <c r="D44" s="7" t="s">
        <v>18</v>
      </c>
      <c r="E44" s="7"/>
      <c r="F44" s="61">
        <f>F45</f>
        <v>5711.900000000001</v>
      </c>
      <c r="G44" s="61">
        <f>G45</f>
        <v>2582.7</v>
      </c>
    </row>
    <row r="45" spans="1:7" ht="15">
      <c r="A45" s="36" t="s">
        <v>526</v>
      </c>
      <c r="B45" s="7" t="s">
        <v>193</v>
      </c>
      <c r="C45" s="7" t="s">
        <v>197</v>
      </c>
      <c r="D45" s="7" t="s">
        <v>15</v>
      </c>
      <c r="E45" s="7"/>
      <c r="F45" s="61">
        <f>F46</f>
        <v>5711.900000000001</v>
      </c>
      <c r="G45" s="61">
        <f>G46</f>
        <v>2582.7</v>
      </c>
    </row>
    <row r="46" spans="1:7" ht="30">
      <c r="A46" s="36" t="s">
        <v>527</v>
      </c>
      <c r="B46" s="7" t="s">
        <v>193</v>
      </c>
      <c r="C46" s="7" t="s">
        <v>197</v>
      </c>
      <c r="D46" s="7" t="s">
        <v>191</v>
      </c>
      <c r="E46" s="7"/>
      <c r="F46" s="61">
        <f>F47+F48+F49+F50</f>
        <v>5711.900000000001</v>
      </c>
      <c r="G46" s="61">
        <f>G47+G48+G49+G50</f>
        <v>2582.7</v>
      </c>
    </row>
    <row r="47" spans="1:7" ht="30">
      <c r="A47" s="36" t="s">
        <v>494</v>
      </c>
      <c r="B47" s="7" t="s">
        <v>193</v>
      </c>
      <c r="C47" s="7" t="s">
        <v>197</v>
      </c>
      <c r="D47" s="7" t="s">
        <v>191</v>
      </c>
      <c r="E47" s="7" t="s">
        <v>470</v>
      </c>
      <c r="F47" s="61">
        <v>4874.2</v>
      </c>
      <c r="G47" s="61">
        <f>'Прил.8 Ведомств.'!H361</f>
        <v>2249.5</v>
      </c>
    </row>
    <row r="48" spans="1:7" ht="45">
      <c r="A48" s="36" t="s">
        <v>484</v>
      </c>
      <c r="B48" s="7" t="s">
        <v>193</v>
      </c>
      <c r="C48" s="7" t="s">
        <v>197</v>
      </c>
      <c r="D48" s="7" t="s">
        <v>191</v>
      </c>
      <c r="E48" s="7" t="s">
        <v>483</v>
      </c>
      <c r="F48" s="61">
        <v>702.1</v>
      </c>
      <c r="G48" s="61">
        <f>'Прил.8 Ведомств.'!H362</f>
        <v>251</v>
      </c>
    </row>
    <row r="49" spans="1:7" ht="30">
      <c r="A49" s="36" t="s">
        <v>467</v>
      </c>
      <c r="B49" s="7" t="s">
        <v>193</v>
      </c>
      <c r="C49" s="7" t="s">
        <v>197</v>
      </c>
      <c r="D49" s="7" t="s">
        <v>191</v>
      </c>
      <c r="E49" s="7" t="s">
        <v>466</v>
      </c>
      <c r="F49" s="61">
        <v>134.5</v>
      </c>
      <c r="G49" s="61">
        <f>'Прил.8 Ведомств.'!H363</f>
        <v>82.2</v>
      </c>
    </row>
    <row r="50" spans="1:7" ht="30">
      <c r="A50" s="36" t="s">
        <v>473</v>
      </c>
      <c r="B50" s="7" t="s">
        <v>193</v>
      </c>
      <c r="C50" s="7" t="s">
        <v>197</v>
      </c>
      <c r="D50" s="7" t="s">
        <v>191</v>
      </c>
      <c r="E50" s="7" t="s">
        <v>472</v>
      </c>
      <c r="F50" s="61">
        <v>1.1</v>
      </c>
      <c r="G50" s="61">
        <f>'Прил.8 Ведомств.'!H364</f>
        <v>0</v>
      </c>
    </row>
    <row r="51" spans="1:7" ht="15">
      <c r="A51" s="62" t="s">
        <v>162</v>
      </c>
      <c r="B51" s="7" t="s">
        <v>193</v>
      </c>
      <c r="C51" s="7" t="s">
        <v>197</v>
      </c>
      <c r="D51" s="5">
        <v>5210000</v>
      </c>
      <c r="E51" s="7"/>
      <c r="F51" s="61">
        <f aca="true" t="shared" si="0" ref="F51:G53">F52</f>
        <v>300</v>
      </c>
      <c r="G51" s="61">
        <f t="shared" si="0"/>
        <v>300</v>
      </c>
    </row>
    <row r="52" spans="1:7" ht="150">
      <c r="A52" s="62" t="s">
        <v>434</v>
      </c>
      <c r="B52" s="7" t="s">
        <v>193</v>
      </c>
      <c r="C52" s="7" t="s">
        <v>197</v>
      </c>
      <c r="D52" s="5">
        <v>5210600</v>
      </c>
      <c r="E52" s="7"/>
      <c r="F52" s="61">
        <f t="shared" si="0"/>
        <v>300</v>
      </c>
      <c r="G52" s="61">
        <f t="shared" si="0"/>
        <v>300</v>
      </c>
    </row>
    <row r="53" spans="1:7" ht="60">
      <c r="A53" s="62" t="s">
        <v>531</v>
      </c>
      <c r="B53" s="7" t="s">
        <v>193</v>
      </c>
      <c r="C53" s="7" t="s">
        <v>197</v>
      </c>
      <c r="D53" s="5">
        <v>5210605</v>
      </c>
      <c r="E53" s="7"/>
      <c r="F53" s="61">
        <f t="shared" si="0"/>
        <v>300</v>
      </c>
      <c r="G53" s="61">
        <f t="shared" si="0"/>
        <v>300</v>
      </c>
    </row>
    <row r="54" spans="1:7" ht="15">
      <c r="A54" s="63" t="s">
        <v>192</v>
      </c>
      <c r="B54" s="7" t="s">
        <v>193</v>
      </c>
      <c r="C54" s="7" t="s">
        <v>197</v>
      </c>
      <c r="D54" s="5">
        <v>5210605</v>
      </c>
      <c r="E54" s="7" t="s">
        <v>493</v>
      </c>
      <c r="F54" s="61">
        <v>300</v>
      </c>
      <c r="G54" s="61">
        <f>'Прил.8 Ведомств.'!H431</f>
        <v>300</v>
      </c>
    </row>
    <row r="55" spans="1:7" ht="15.75">
      <c r="A55" s="60" t="s">
        <v>2</v>
      </c>
      <c r="B55" s="7" t="s">
        <v>193</v>
      </c>
      <c r="C55" s="7" t="s">
        <v>198</v>
      </c>
      <c r="D55" s="7"/>
      <c r="E55" s="7"/>
      <c r="F55" s="61">
        <f>F56</f>
        <v>12000</v>
      </c>
      <c r="G55" s="61">
        <f>G56</f>
        <v>0</v>
      </c>
    </row>
    <row r="56" spans="1:7" ht="15.75">
      <c r="A56" s="60" t="s">
        <v>2</v>
      </c>
      <c r="B56" s="7" t="s">
        <v>193</v>
      </c>
      <c r="C56" s="7" t="s">
        <v>198</v>
      </c>
      <c r="D56" s="7" t="s">
        <v>203</v>
      </c>
      <c r="E56" s="7"/>
      <c r="F56" s="61">
        <f>F57</f>
        <v>12000</v>
      </c>
      <c r="G56" s="61">
        <f>G57</f>
        <v>0</v>
      </c>
    </row>
    <row r="57" spans="1:7" ht="30">
      <c r="A57" s="36" t="s">
        <v>200</v>
      </c>
      <c r="B57" s="7" t="s">
        <v>193</v>
      </c>
      <c r="C57" s="7" t="s">
        <v>198</v>
      </c>
      <c r="D57" s="7" t="s">
        <v>19</v>
      </c>
      <c r="E57" s="7"/>
      <c r="F57" s="61">
        <f>F58+F60</f>
        <v>12000</v>
      </c>
      <c r="G57" s="61">
        <f>G58+G60</f>
        <v>0</v>
      </c>
    </row>
    <row r="58" spans="1:7" ht="30">
      <c r="A58" s="36" t="s">
        <v>131</v>
      </c>
      <c r="B58" s="7" t="s">
        <v>193</v>
      </c>
      <c r="C58" s="7" t="s">
        <v>198</v>
      </c>
      <c r="D58" s="7" t="s">
        <v>129</v>
      </c>
      <c r="E58" s="7"/>
      <c r="F58" s="61">
        <f>F59</f>
        <v>2000</v>
      </c>
      <c r="G58" s="61">
        <f>G59</f>
        <v>0</v>
      </c>
    </row>
    <row r="59" spans="1:7" ht="15">
      <c r="A59" s="36" t="s">
        <v>486</v>
      </c>
      <c r="B59" s="7" t="s">
        <v>193</v>
      </c>
      <c r="C59" s="7" t="s">
        <v>198</v>
      </c>
      <c r="D59" s="7" t="s">
        <v>129</v>
      </c>
      <c r="E59" s="7" t="s">
        <v>485</v>
      </c>
      <c r="F59" s="61">
        <v>2000</v>
      </c>
      <c r="G59" s="61">
        <f>'Прил.8 Ведомств.'!H369</f>
        <v>0</v>
      </c>
    </row>
    <row r="60" spans="1:7" ht="90" customHeight="1">
      <c r="A60" s="36" t="s">
        <v>132</v>
      </c>
      <c r="B60" s="7" t="s">
        <v>193</v>
      </c>
      <c r="C60" s="7" t="s">
        <v>198</v>
      </c>
      <c r="D60" s="7" t="s">
        <v>130</v>
      </c>
      <c r="E60" s="7"/>
      <c r="F60" s="61">
        <f>F61</f>
        <v>10000</v>
      </c>
      <c r="G60" s="61">
        <f>G61</f>
        <v>0</v>
      </c>
    </row>
    <row r="61" spans="1:7" ht="15">
      <c r="A61" s="36" t="s">
        <v>486</v>
      </c>
      <c r="B61" s="7" t="s">
        <v>193</v>
      </c>
      <c r="C61" s="7" t="s">
        <v>198</v>
      </c>
      <c r="D61" s="7" t="s">
        <v>130</v>
      </c>
      <c r="E61" s="7" t="s">
        <v>485</v>
      </c>
      <c r="F61" s="61">
        <v>10000</v>
      </c>
      <c r="G61" s="61">
        <f>'Прил.8 Ведомств.'!H371</f>
        <v>0</v>
      </c>
    </row>
    <row r="62" spans="1:7" ht="31.5">
      <c r="A62" s="60" t="s">
        <v>9</v>
      </c>
      <c r="B62" s="7" t="s">
        <v>193</v>
      </c>
      <c r="C62" s="7" t="s">
        <v>199</v>
      </c>
      <c r="D62" s="7"/>
      <c r="E62" s="7"/>
      <c r="F62" s="61">
        <f>F63+F75+F79+F95</f>
        <v>27950.3</v>
      </c>
      <c r="G62" s="61">
        <f>G63+G75+G79+G95</f>
        <v>8480.1</v>
      </c>
    </row>
    <row r="63" spans="1:7" ht="75">
      <c r="A63" s="36" t="s">
        <v>190</v>
      </c>
      <c r="B63" s="7" t="s">
        <v>193</v>
      </c>
      <c r="C63" s="7" t="s">
        <v>199</v>
      </c>
      <c r="D63" s="7" t="s">
        <v>18</v>
      </c>
      <c r="E63" s="7"/>
      <c r="F63" s="61">
        <f>F64</f>
        <v>7510.6</v>
      </c>
      <c r="G63" s="61">
        <f>G64</f>
        <v>2897.2000000000003</v>
      </c>
    </row>
    <row r="64" spans="1:7" ht="15">
      <c r="A64" s="36" t="s">
        <v>526</v>
      </c>
      <c r="B64" s="7" t="s">
        <v>193</v>
      </c>
      <c r="C64" s="7" t="s">
        <v>199</v>
      </c>
      <c r="D64" s="7" t="s">
        <v>15</v>
      </c>
      <c r="E64" s="7"/>
      <c r="F64" s="61">
        <f>F65+F70+F74</f>
        <v>7510.6</v>
      </c>
      <c r="G64" s="61">
        <f>G65+G70+G74</f>
        <v>2897.2000000000003</v>
      </c>
    </row>
    <row r="65" spans="1:7" ht="30">
      <c r="A65" s="36" t="s">
        <v>527</v>
      </c>
      <c r="B65" s="7" t="s">
        <v>193</v>
      </c>
      <c r="C65" s="7" t="s">
        <v>199</v>
      </c>
      <c r="D65" s="7" t="s">
        <v>191</v>
      </c>
      <c r="E65" s="7"/>
      <c r="F65" s="61">
        <f>F66+F67+F68+F69</f>
        <v>6908.8</v>
      </c>
      <c r="G65" s="61">
        <f>G66+G67+G68+G69</f>
        <v>2623.2000000000003</v>
      </c>
    </row>
    <row r="66" spans="1:7" ht="30">
      <c r="A66" s="36" t="s">
        <v>494</v>
      </c>
      <c r="B66" s="7" t="s">
        <v>193</v>
      </c>
      <c r="C66" s="7" t="s">
        <v>199</v>
      </c>
      <c r="D66" s="7" t="s">
        <v>191</v>
      </c>
      <c r="E66" s="7" t="s">
        <v>470</v>
      </c>
      <c r="F66" s="61">
        <v>5894.4</v>
      </c>
      <c r="G66" s="61">
        <f>'Прил.8 Ведомств.'!H20</f>
        <v>2374.3</v>
      </c>
    </row>
    <row r="67" spans="1:7" ht="30">
      <c r="A67" s="36" t="s">
        <v>538</v>
      </c>
      <c r="B67" s="7" t="s">
        <v>193</v>
      </c>
      <c r="C67" s="7" t="s">
        <v>199</v>
      </c>
      <c r="D67" s="7" t="s">
        <v>191</v>
      </c>
      <c r="E67" s="7" t="s">
        <v>471</v>
      </c>
      <c r="F67" s="61">
        <v>25.6</v>
      </c>
      <c r="G67" s="61">
        <f>'Прил.8 Ведомств.'!H21</f>
        <v>12.5</v>
      </c>
    </row>
    <row r="68" spans="1:7" ht="45">
      <c r="A68" s="36" t="s">
        <v>484</v>
      </c>
      <c r="B68" s="7" t="s">
        <v>193</v>
      </c>
      <c r="C68" s="7" t="s">
        <v>199</v>
      </c>
      <c r="D68" s="7" t="s">
        <v>191</v>
      </c>
      <c r="E68" s="7" t="s">
        <v>483</v>
      </c>
      <c r="F68" s="61">
        <v>185.6</v>
      </c>
      <c r="G68" s="61">
        <f>'Прил.8 Ведомств.'!H22</f>
        <v>76.5</v>
      </c>
    </row>
    <row r="69" spans="1:7" ht="30">
      <c r="A69" s="36" t="s">
        <v>467</v>
      </c>
      <c r="B69" s="7" t="s">
        <v>193</v>
      </c>
      <c r="C69" s="7" t="s">
        <v>199</v>
      </c>
      <c r="D69" s="7" t="s">
        <v>191</v>
      </c>
      <c r="E69" s="7" t="s">
        <v>466</v>
      </c>
      <c r="F69" s="61">
        <v>803.2</v>
      </c>
      <c r="G69" s="61">
        <f>'Прил.8 Ведомств.'!H23</f>
        <v>159.9</v>
      </c>
    </row>
    <row r="70" spans="1:7" ht="30">
      <c r="A70" s="36" t="s">
        <v>528</v>
      </c>
      <c r="B70" s="7" t="s">
        <v>193</v>
      </c>
      <c r="C70" s="7" t="s">
        <v>199</v>
      </c>
      <c r="D70" s="7" t="s">
        <v>96</v>
      </c>
      <c r="E70" s="7"/>
      <c r="F70" s="61">
        <f>F71+F72</f>
        <v>450.5</v>
      </c>
      <c r="G70" s="61">
        <f>G71+G72</f>
        <v>201.89999999999998</v>
      </c>
    </row>
    <row r="71" spans="1:7" ht="30">
      <c r="A71" s="36" t="s">
        <v>494</v>
      </c>
      <c r="B71" s="7" t="s">
        <v>193</v>
      </c>
      <c r="C71" s="7" t="s">
        <v>199</v>
      </c>
      <c r="D71" s="7" t="s">
        <v>96</v>
      </c>
      <c r="E71" s="7" t="s">
        <v>470</v>
      </c>
      <c r="F71" s="61">
        <v>449.9</v>
      </c>
      <c r="G71" s="61">
        <f>'Прил.8 Ведомств.'!H25</f>
        <v>201.7</v>
      </c>
    </row>
    <row r="72" spans="1:7" ht="30">
      <c r="A72" s="36" t="s">
        <v>538</v>
      </c>
      <c r="B72" s="7" t="s">
        <v>193</v>
      </c>
      <c r="C72" s="7" t="s">
        <v>199</v>
      </c>
      <c r="D72" s="7" t="s">
        <v>96</v>
      </c>
      <c r="E72" s="7" t="s">
        <v>471</v>
      </c>
      <c r="F72" s="61">
        <v>0.6</v>
      </c>
      <c r="G72" s="61">
        <f>'Прил.8 Ведомств.'!H26</f>
        <v>0.2</v>
      </c>
    </row>
    <row r="73" spans="1:7" ht="45">
      <c r="A73" s="36" t="s">
        <v>201</v>
      </c>
      <c r="B73" s="7" t="s">
        <v>193</v>
      </c>
      <c r="C73" s="7" t="s">
        <v>199</v>
      </c>
      <c r="D73" s="7" t="s">
        <v>115</v>
      </c>
      <c r="E73" s="7"/>
      <c r="F73" s="61">
        <f>F74</f>
        <v>151.3</v>
      </c>
      <c r="G73" s="61">
        <f>G74</f>
        <v>72.1</v>
      </c>
    </row>
    <row r="74" spans="1:7" ht="30">
      <c r="A74" s="36" t="s">
        <v>494</v>
      </c>
      <c r="B74" s="7" t="s">
        <v>193</v>
      </c>
      <c r="C74" s="7" t="s">
        <v>199</v>
      </c>
      <c r="D74" s="7" t="s">
        <v>115</v>
      </c>
      <c r="E74" s="7" t="s">
        <v>470</v>
      </c>
      <c r="F74" s="61">
        <v>151.3</v>
      </c>
      <c r="G74" s="61">
        <f>'Прил.8 Ведомств.'!H28</f>
        <v>72.1</v>
      </c>
    </row>
    <row r="75" spans="1:7" ht="60">
      <c r="A75" s="36" t="s">
        <v>21</v>
      </c>
      <c r="B75" s="7" t="s">
        <v>193</v>
      </c>
      <c r="C75" s="7" t="s">
        <v>199</v>
      </c>
      <c r="D75" s="7" t="s">
        <v>22</v>
      </c>
      <c r="E75" s="7"/>
      <c r="F75" s="61">
        <f>F76</f>
        <v>1945</v>
      </c>
      <c r="G75" s="61">
        <f>G76</f>
        <v>666.7</v>
      </c>
    </row>
    <row r="76" spans="1:7" ht="60">
      <c r="A76" s="36" t="s">
        <v>23</v>
      </c>
      <c r="B76" s="7" t="s">
        <v>193</v>
      </c>
      <c r="C76" s="7" t="s">
        <v>199</v>
      </c>
      <c r="D76" s="7" t="s">
        <v>24</v>
      </c>
      <c r="E76" s="7"/>
      <c r="F76" s="61">
        <f>F77+F78</f>
        <v>1945</v>
      </c>
      <c r="G76" s="61">
        <f>G77+G78</f>
        <v>666.7</v>
      </c>
    </row>
    <row r="77" spans="1:7" ht="30">
      <c r="A77" s="36" t="s">
        <v>467</v>
      </c>
      <c r="B77" s="7" t="s">
        <v>193</v>
      </c>
      <c r="C77" s="7" t="s">
        <v>199</v>
      </c>
      <c r="D77" s="7" t="s">
        <v>24</v>
      </c>
      <c r="E77" s="7" t="s">
        <v>466</v>
      </c>
      <c r="F77" s="61">
        <v>1940</v>
      </c>
      <c r="G77" s="61">
        <f>'Прил.8 Ведомств.'!H31</f>
        <v>666.7</v>
      </c>
    </row>
    <row r="78" spans="1:7" ht="30">
      <c r="A78" s="36" t="s">
        <v>473</v>
      </c>
      <c r="B78" s="7" t="s">
        <v>193</v>
      </c>
      <c r="C78" s="7" t="s">
        <v>199</v>
      </c>
      <c r="D78" s="7" t="s">
        <v>24</v>
      </c>
      <c r="E78" s="7" t="s">
        <v>472</v>
      </c>
      <c r="F78" s="61">
        <v>5</v>
      </c>
      <c r="G78" s="61">
        <f>'Прил.8 Ведомств.'!H32</f>
        <v>0</v>
      </c>
    </row>
    <row r="79" spans="1:7" ht="43.5" customHeight="1">
      <c r="A79" s="36" t="s">
        <v>25</v>
      </c>
      <c r="B79" s="7" t="s">
        <v>193</v>
      </c>
      <c r="C79" s="7" t="s">
        <v>199</v>
      </c>
      <c r="D79" s="7" t="s">
        <v>26</v>
      </c>
      <c r="E79" s="7"/>
      <c r="F79" s="61">
        <f>F80</f>
        <v>10799</v>
      </c>
      <c r="G79" s="61">
        <f>G80</f>
        <v>1378.8</v>
      </c>
    </row>
    <row r="80" spans="1:7" ht="30">
      <c r="A80" s="36" t="s">
        <v>40</v>
      </c>
      <c r="B80" s="7" t="s">
        <v>193</v>
      </c>
      <c r="C80" s="7" t="s">
        <v>199</v>
      </c>
      <c r="D80" s="7" t="s">
        <v>27</v>
      </c>
      <c r="E80" s="7"/>
      <c r="F80" s="61">
        <f>F81+F83+F85+F87+F91+F94</f>
        <v>10799</v>
      </c>
      <c r="G80" s="61">
        <f>G81+G83+G85+G87+G91+G94</f>
        <v>1378.8</v>
      </c>
    </row>
    <row r="81" spans="1:7" ht="45">
      <c r="A81" s="36" t="s">
        <v>487</v>
      </c>
      <c r="B81" s="7" t="s">
        <v>193</v>
      </c>
      <c r="C81" s="7" t="s">
        <v>199</v>
      </c>
      <c r="D81" s="7" t="s">
        <v>178</v>
      </c>
      <c r="E81" s="7"/>
      <c r="F81" s="61">
        <f>F82</f>
        <v>250</v>
      </c>
      <c r="G81" s="61">
        <f>G82</f>
        <v>0</v>
      </c>
    </row>
    <row r="82" spans="1:7" ht="150.75" customHeight="1">
      <c r="A82" s="36" t="s">
        <v>540</v>
      </c>
      <c r="B82" s="7" t="s">
        <v>193</v>
      </c>
      <c r="C82" s="7" t="s">
        <v>199</v>
      </c>
      <c r="D82" s="7" t="s">
        <v>178</v>
      </c>
      <c r="E82" s="7" t="s">
        <v>475</v>
      </c>
      <c r="F82" s="61">
        <v>250</v>
      </c>
      <c r="G82" s="61">
        <f>'Прил.8 Ведомств.'!H376</f>
        <v>0</v>
      </c>
    </row>
    <row r="83" spans="1:7" ht="45">
      <c r="A83" s="36" t="s">
        <v>266</v>
      </c>
      <c r="B83" s="7" t="s">
        <v>193</v>
      </c>
      <c r="C83" s="7" t="s">
        <v>199</v>
      </c>
      <c r="D83" s="7" t="s">
        <v>204</v>
      </c>
      <c r="E83" s="7"/>
      <c r="F83" s="61">
        <f>F84</f>
        <v>170</v>
      </c>
      <c r="G83" s="61">
        <f>G84</f>
        <v>0</v>
      </c>
    </row>
    <row r="84" spans="1:7" ht="30">
      <c r="A84" s="36" t="s">
        <v>473</v>
      </c>
      <c r="B84" s="7" t="s">
        <v>193</v>
      </c>
      <c r="C84" s="7" t="s">
        <v>199</v>
      </c>
      <c r="D84" s="7" t="s">
        <v>204</v>
      </c>
      <c r="E84" s="7" t="s">
        <v>472</v>
      </c>
      <c r="F84" s="61">
        <v>170</v>
      </c>
      <c r="G84" s="61">
        <f>'Прил.8 Ведомств.'!H71</f>
        <v>0</v>
      </c>
    </row>
    <row r="85" spans="1:7" ht="30">
      <c r="A85" s="36" t="s">
        <v>267</v>
      </c>
      <c r="B85" s="7" t="s">
        <v>193</v>
      </c>
      <c r="C85" s="7" t="s">
        <v>199</v>
      </c>
      <c r="D85" s="7" t="s">
        <v>205</v>
      </c>
      <c r="E85" s="7"/>
      <c r="F85" s="61">
        <f>F86</f>
        <v>45</v>
      </c>
      <c r="G85" s="61">
        <f>G86</f>
        <v>45</v>
      </c>
    </row>
    <row r="86" spans="1:7" ht="30">
      <c r="A86" s="36" t="s">
        <v>473</v>
      </c>
      <c r="B86" s="7" t="s">
        <v>193</v>
      </c>
      <c r="C86" s="7" t="s">
        <v>199</v>
      </c>
      <c r="D86" s="7" t="s">
        <v>205</v>
      </c>
      <c r="E86" s="7" t="s">
        <v>472</v>
      </c>
      <c r="F86" s="61">
        <v>45</v>
      </c>
      <c r="G86" s="61">
        <f>'Прил.8 Ведомств.'!H73</f>
        <v>45</v>
      </c>
    </row>
    <row r="87" spans="1:7" ht="30">
      <c r="A87" s="36" t="s">
        <v>541</v>
      </c>
      <c r="B87" s="7" t="s">
        <v>193</v>
      </c>
      <c r="C87" s="7" t="s">
        <v>199</v>
      </c>
      <c r="D87" s="7" t="s">
        <v>268</v>
      </c>
      <c r="E87" s="7"/>
      <c r="F87" s="61">
        <f>F88+F89+F90</f>
        <v>3834</v>
      </c>
      <c r="G87" s="61">
        <f>G88+G89+G90</f>
        <v>1333.8</v>
      </c>
    </row>
    <row r="88" spans="1:7" ht="30">
      <c r="A88" s="36" t="s">
        <v>467</v>
      </c>
      <c r="B88" s="7" t="s">
        <v>193</v>
      </c>
      <c r="C88" s="7" t="s">
        <v>199</v>
      </c>
      <c r="D88" s="7" t="s">
        <v>268</v>
      </c>
      <c r="E88" s="7" t="s">
        <v>466</v>
      </c>
      <c r="F88" s="61">
        <f>2784+400</f>
        <v>3184</v>
      </c>
      <c r="G88" s="61">
        <f>'Прил.8 Ведомств.'!H75</f>
        <v>1084.3</v>
      </c>
    </row>
    <row r="89" spans="1:7" ht="15">
      <c r="A89" s="36" t="s">
        <v>518</v>
      </c>
      <c r="B89" s="7" t="s">
        <v>193</v>
      </c>
      <c r="C89" s="7" t="s">
        <v>199</v>
      </c>
      <c r="D89" s="7" t="s">
        <v>268</v>
      </c>
      <c r="E89" s="7" t="s">
        <v>519</v>
      </c>
      <c r="F89" s="61">
        <v>600</v>
      </c>
      <c r="G89" s="61">
        <f>'Прил.8 Ведомств.'!H76</f>
        <v>232.7</v>
      </c>
    </row>
    <row r="90" spans="1:7" ht="30">
      <c r="A90" s="36" t="s">
        <v>473</v>
      </c>
      <c r="B90" s="7" t="s">
        <v>193</v>
      </c>
      <c r="C90" s="7" t="s">
        <v>199</v>
      </c>
      <c r="D90" s="7" t="s">
        <v>268</v>
      </c>
      <c r="E90" s="7" t="s">
        <v>472</v>
      </c>
      <c r="F90" s="61">
        <v>50</v>
      </c>
      <c r="G90" s="61">
        <f>'Прил.8 Ведомств.'!H77</f>
        <v>16.8</v>
      </c>
    </row>
    <row r="91" spans="1:7" ht="45">
      <c r="A91" s="36" t="s">
        <v>542</v>
      </c>
      <c r="B91" s="7" t="s">
        <v>193</v>
      </c>
      <c r="C91" s="7" t="s">
        <v>199</v>
      </c>
      <c r="D91" s="7" t="s">
        <v>364</v>
      </c>
      <c r="E91" s="7"/>
      <c r="F91" s="61">
        <f>F92</f>
        <v>3500</v>
      </c>
      <c r="G91" s="61">
        <f>G92</f>
        <v>0</v>
      </c>
    </row>
    <row r="92" spans="1:7" ht="30">
      <c r="A92" s="36" t="s">
        <v>467</v>
      </c>
      <c r="B92" s="7" t="s">
        <v>193</v>
      </c>
      <c r="C92" s="7" t="s">
        <v>199</v>
      </c>
      <c r="D92" s="7" t="s">
        <v>364</v>
      </c>
      <c r="E92" s="7" t="s">
        <v>466</v>
      </c>
      <c r="F92" s="61">
        <v>3500</v>
      </c>
      <c r="G92" s="61">
        <f>'Прил.8 Ведомств.'!H79</f>
        <v>0</v>
      </c>
    </row>
    <row r="93" spans="1:7" ht="28.5" customHeight="1">
      <c r="A93" s="36" t="s">
        <v>399</v>
      </c>
      <c r="B93" s="7" t="s">
        <v>193</v>
      </c>
      <c r="C93" s="7" t="s">
        <v>199</v>
      </c>
      <c r="D93" s="7" t="s">
        <v>406</v>
      </c>
      <c r="E93" s="7"/>
      <c r="F93" s="61">
        <f>F94</f>
        <v>3000</v>
      </c>
      <c r="G93" s="61">
        <f>G94</f>
        <v>0</v>
      </c>
    </row>
    <row r="94" spans="1:7" ht="30">
      <c r="A94" s="36" t="s">
        <v>467</v>
      </c>
      <c r="B94" s="7" t="s">
        <v>193</v>
      </c>
      <c r="C94" s="7" t="s">
        <v>199</v>
      </c>
      <c r="D94" s="7" t="s">
        <v>406</v>
      </c>
      <c r="E94" s="7" t="s">
        <v>466</v>
      </c>
      <c r="F94" s="61">
        <v>3000</v>
      </c>
      <c r="G94" s="61">
        <f>'Прил.8 Ведомств.'!H81</f>
        <v>0</v>
      </c>
    </row>
    <row r="95" spans="1:7" ht="30">
      <c r="A95" s="36" t="s">
        <v>28</v>
      </c>
      <c r="B95" s="7" t="s">
        <v>193</v>
      </c>
      <c r="C95" s="7" t="s">
        <v>199</v>
      </c>
      <c r="D95" s="7" t="s">
        <v>29</v>
      </c>
      <c r="E95" s="7"/>
      <c r="F95" s="61">
        <f>F96</f>
        <v>7695.7</v>
      </c>
      <c r="G95" s="61">
        <f>G96</f>
        <v>3537.4</v>
      </c>
    </row>
    <row r="96" spans="1:7" ht="30">
      <c r="A96" s="36" t="s">
        <v>20</v>
      </c>
      <c r="B96" s="7" t="s">
        <v>193</v>
      </c>
      <c r="C96" s="7" t="s">
        <v>199</v>
      </c>
      <c r="D96" s="7" t="s">
        <v>30</v>
      </c>
      <c r="E96" s="7"/>
      <c r="F96" s="61">
        <f>F97+F98+F99</f>
        <v>7695.7</v>
      </c>
      <c r="G96" s="61">
        <f>G97+G98+G99</f>
        <v>3537.4</v>
      </c>
    </row>
    <row r="97" spans="1:7" ht="30">
      <c r="A97" s="36" t="s">
        <v>494</v>
      </c>
      <c r="B97" s="7" t="s">
        <v>193</v>
      </c>
      <c r="C97" s="7" t="s">
        <v>199</v>
      </c>
      <c r="D97" s="7" t="s">
        <v>30</v>
      </c>
      <c r="E97" s="7" t="s">
        <v>474</v>
      </c>
      <c r="F97" s="61">
        <f>7119.4+235</f>
        <v>7354.4</v>
      </c>
      <c r="G97" s="61">
        <f>'Прил.8 Ведомств.'!H84</f>
        <v>3382.3</v>
      </c>
    </row>
    <row r="98" spans="1:7" ht="45">
      <c r="A98" s="36" t="s">
        <v>484</v>
      </c>
      <c r="B98" s="7" t="s">
        <v>193</v>
      </c>
      <c r="C98" s="7" t="s">
        <v>199</v>
      </c>
      <c r="D98" s="7" t="s">
        <v>30</v>
      </c>
      <c r="E98" s="7" t="s">
        <v>483</v>
      </c>
      <c r="F98" s="61">
        <v>16.3</v>
      </c>
      <c r="G98" s="61">
        <f>'Прил.8 Ведомств.'!H85</f>
        <v>11.9</v>
      </c>
    </row>
    <row r="99" spans="1:7" ht="30">
      <c r="A99" s="36" t="s">
        <v>467</v>
      </c>
      <c r="B99" s="7" t="s">
        <v>193</v>
      </c>
      <c r="C99" s="7" t="s">
        <v>199</v>
      </c>
      <c r="D99" s="7" t="s">
        <v>30</v>
      </c>
      <c r="E99" s="7" t="s">
        <v>466</v>
      </c>
      <c r="F99" s="61">
        <v>325</v>
      </c>
      <c r="G99" s="61">
        <f>'Прил.8 Ведомств.'!H86</f>
        <v>143.2</v>
      </c>
    </row>
    <row r="100" spans="1:7" ht="47.25">
      <c r="A100" s="57" t="s">
        <v>3</v>
      </c>
      <c r="B100" s="6" t="s">
        <v>195</v>
      </c>
      <c r="C100" s="6" t="s">
        <v>194</v>
      </c>
      <c r="D100" s="6"/>
      <c r="E100" s="6"/>
      <c r="F100" s="59">
        <f>F101+F108</f>
        <v>3317</v>
      </c>
      <c r="G100" s="59">
        <f>G101+G108</f>
        <v>771</v>
      </c>
    </row>
    <row r="101" spans="1:7" ht="63">
      <c r="A101" s="60" t="s">
        <v>168</v>
      </c>
      <c r="B101" s="7" t="s">
        <v>195</v>
      </c>
      <c r="C101" s="7" t="s">
        <v>207</v>
      </c>
      <c r="D101" s="7"/>
      <c r="E101" s="7"/>
      <c r="F101" s="61">
        <f>F102+F105</f>
        <v>920</v>
      </c>
      <c r="G101" s="61">
        <f>G102+G105</f>
        <v>88.2</v>
      </c>
    </row>
    <row r="102" spans="1:7" ht="63">
      <c r="A102" s="60" t="s">
        <v>169</v>
      </c>
      <c r="B102" s="7" t="s">
        <v>195</v>
      </c>
      <c r="C102" s="7" t="s">
        <v>207</v>
      </c>
      <c r="D102" s="7" t="s">
        <v>442</v>
      </c>
      <c r="E102" s="7"/>
      <c r="F102" s="61">
        <f>F103</f>
        <v>100</v>
      </c>
      <c r="G102" s="61">
        <f>G103</f>
        <v>88.2</v>
      </c>
    </row>
    <row r="103" spans="1:7" ht="78.75">
      <c r="A103" s="60" t="s">
        <v>446</v>
      </c>
      <c r="B103" s="7" t="s">
        <v>195</v>
      </c>
      <c r="C103" s="7" t="s">
        <v>207</v>
      </c>
      <c r="D103" s="7" t="s">
        <v>447</v>
      </c>
      <c r="E103" s="7"/>
      <c r="F103" s="61">
        <f>F104</f>
        <v>100</v>
      </c>
      <c r="G103" s="61">
        <f>G104</f>
        <v>88.2</v>
      </c>
    </row>
    <row r="104" spans="1:7" ht="30">
      <c r="A104" s="36" t="s">
        <v>467</v>
      </c>
      <c r="B104" s="7" t="s">
        <v>195</v>
      </c>
      <c r="C104" s="7" t="s">
        <v>207</v>
      </c>
      <c r="D104" s="7" t="s">
        <v>447</v>
      </c>
      <c r="E104" s="7" t="s">
        <v>466</v>
      </c>
      <c r="F104" s="61">
        <v>100</v>
      </c>
      <c r="G104" s="61">
        <f>'Прил.8 Ведомств.'!H91</f>
        <v>88.2</v>
      </c>
    </row>
    <row r="105" spans="1:7" ht="30">
      <c r="A105" s="36" t="s">
        <v>216</v>
      </c>
      <c r="B105" s="7" t="s">
        <v>195</v>
      </c>
      <c r="C105" s="7" t="s">
        <v>207</v>
      </c>
      <c r="D105" s="7" t="s">
        <v>33</v>
      </c>
      <c r="E105" s="7"/>
      <c r="F105" s="61">
        <f>F106</f>
        <v>820</v>
      </c>
      <c r="G105" s="61">
        <f>G106</f>
        <v>0</v>
      </c>
    </row>
    <row r="106" spans="1:7" ht="104.25" customHeight="1">
      <c r="A106" s="36" t="s">
        <v>543</v>
      </c>
      <c r="B106" s="7" t="s">
        <v>195</v>
      </c>
      <c r="C106" s="7" t="s">
        <v>207</v>
      </c>
      <c r="D106" s="7" t="s">
        <v>181</v>
      </c>
      <c r="E106" s="7"/>
      <c r="F106" s="61">
        <f>F107</f>
        <v>820</v>
      </c>
      <c r="G106" s="61">
        <f>G107</f>
        <v>0</v>
      </c>
    </row>
    <row r="107" spans="1:7" ht="30">
      <c r="A107" s="36" t="s">
        <v>467</v>
      </c>
      <c r="B107" s="7" t="s">
        <v>195</v>
      </c>
      <c r="C107" s="7" t="s">
        <v>207</v>
      </c>
      <c r="D107" s="7" t="s">
        <v>181</v>
      </c>
      <c r="E107" s="7" t="s">
        <v>466</v>
      </c>
      <c r="F107" s="61">
        <v>820</v>
      </c>
      <c r="G107" s="61">
        <f>'Прил.8 Ведомств.'!H94</f>
        <v>0</v>
      </c>
    </row>
    <row r="108" spans="1:8" ht="31.5">
      <c r="A108" s="60" t="s">
        <v>100</v>
      </c>
      <c r="B108" s="7" t="s">
        <v>195</v>
      </c>
      <c r="C108" s="7" t="s">
        <v>208</v>
      </c>
      <c r="D108" s="7"/>
      <c r="E108" s="7"/>
      <c r="F108" s="61">
        <f>F110</f>
        <v>2397</v>
      </c>
      <c r="G108" s="61">
        <f>G110</f>
        <v>682.8</v>
      </c>
      <c r="H108" s="1"/>
    </row>
    <row r="109" spans="1:7" ht="30.75" customHeight="1">
      <c r="A109" s="36" t="s">
        <v>206</v>
      </c>
      <c r="B109" s="7" t="s">
        <v>195</v>
      </c>
      <c r="C109" s="7" t="s">
        <v>208</v>
      </c>
      <c r="D109" s="7" t="s">
        <v>33</v>
      </c>
      <c r="E109" s="7"/>
      <c r="F109" s="61">
        <f>F110</f>
        <v>2397</v>
      </c>
      <c r="G109" s="61">
        <f>G110</f>
        <v>682.8</v>
      </c>
    </row>
    <row r="110" spans="1:7" ht="60">
      <c r="A110" s="36" t="s">
        <v>544</v>
      </c>
      <c r="B110" s="7" t="s">
        <v>195</v>
      </c>
      <c r="C110" s="7" t="s">
        <v>208</v>
      </c>
      <c r="D110" s="7" t="s">
        <v>182</v>
      </c>
      <c r="E110" s="7"/>
      <c r="F110" s="61">
        <f>F111+F112</f>
        <v>2397</v>
      </c>
      <c r="G110" s="61">
        <f>G111+G112</f>
        <v>682.8</v>
      </c>
    </row>
    <row r="111" spans="1:7" ht="30">
      <c r="A111" s="36" t="s">
        <v>489</v>
      </c>
      <c r="B111" s="7" t="s">
        <v>195</v>
      </c>
      <c r="C111" s="7" t="s">
        <v>208</v>
      </c>
      <c r="D111" s="7" t="s">
        <v>182</v>
      </c>
      <c r="E111" s="7" t="s">
        <v>488</v>
      </c>
      <c r="F111" s="61">
        <f>1028-100</f>
        <v>928</v>
      </c>
      <c r="G111" s="61">
        <f>'Прил.8 Ведомств.'!H381+'Прил.8 Ведомств.'!H437</f>
        <v>395.4</v>
      </c>
    </row>
    <row r="112" spans="1:7" ht="30">
      <c r="A112" s="36" t="s">
        <v>467</v>
      </c>
      <c r="B112" s="7" t="s">
        <v>195</v>
      </c>
      <c r="C112" s="7" t="s">
        <v>208</v>
      </c>
      <c r="D112" s="7" t="s">
        <v>182</v>
      </c>
      <c r="E112" s="7" t="s">
        <v>466</v>
      </c>
      <c r="F112" s="61">
        <f>1369+100</f>
        <v>1469</v>
      </c>
      <c r="G112" s="61">
        <f>'Прил.8 Ведомств.'!H98+'Прил.8 Ведомств.'!H37</f>
        <v>287.4</v>
      </c>
    </row>
    <row r="113" spans="1:7" ht="15.75">
      <c r="A113" s="57" t="s">
        <v>4</v>
      </c>
      <c r="B113" s="6" t="s">
        <v>196</v>
      </c>
      <c r="C113" s="6" t="s">
        <v>194</v>
      </c>
      <c r="D113" s="6"/>
      <c r="E113" s="6"/>
      <c r="F113" s="59">
        <f>F114+F118+F143+F147</f>
        <v>211168.90000000002</v>
      </c>
      <c r="G113" s="59">
        <f>G114+G118+G143+G147</f>
        <v>33935</v>
      </c>
    </row>
    <row r="114" spans="1:7" ht="15.75">
      <c r="A114" s="60" t="s">
        <v>141</v>
      </c>
      <c r="B114" s="7" t="s">
        <v>196</v>
      </c>
      <c r="C114" s="7" t="s">
        <v>193</v>
      </c>
      <c r="D114" s="31"/>
      <c r="E114" s="31"/>
      <c r="F114" s="61">
        <f aca="true" t="shared" si="1" ref="F114:G116">F115</f>
        <v>550</v>
      </c>
      <c r="G114" s="61">
        <f t="shared" si="1"/>
        <v>0</v>
      </c>
    </row>
    <row r="115" spans="1:7" ht="30">
      <c r="A115" s="36" t="s">
        <v>142</v>
      </c>
      <c r="B115" s="7" t="s">
        <v>196</v>
      </c>
      <c r="C115" s="7" t="s">
        <v>193</v>
      </c>
      <c r="D115" s="7" t="s">
        <v>143</v>
      </c>
      <c r="E115" s="7"/>
      <c r="F115" s="61">
        <f t="shared" si="1"/>
        <v>550</v>
      </c>
      <c r="G115" s="61">
        <f t="shared" si="1"/>
        <v>0</v>
      </c>
    </row>
    <row r="116" spans="1:7" ht="60">
      <c r="A116" s="36" t="s">
        <v>145</v>
      </c>
      <c r="B116" s="7" t="s">
        <v>196</v>
      </c>
      <c r="C116" s="7" t="s">
        <v>193</v>
      </c>
      <c r="D116" s="7" t="s">
        <v>144</v>
      </c>
      <c r="E116" s="7"/>
      <c r="F116" s="61">
        <f t="shared" si="1"/>
        <v>550</v>
      </c>
      <c r="G116" s="61">
        <f t="shared" si="1"/>
        <v>0</v>
      </c>
    </row>
    <row r="117" spans="1:7" ht="30">
      <c r="A117" s="36" t="s">
        <v>467</v>
      </c>
      <c r="B117" s="7" t="s">
        <v>196</v>
      </c>
      <c r="C117" s="7" t="s">
        <v>193</v>
      </c>
      <c r="D117" s="7" t="s">
        <v>144</v>
      </c>
      <c r="E117" s="7" t="s">
        <v>466</v>
      </c>
      <c r="F117" s="61">
        <v>550</v>
      </c>
      <c r="G117" s="61">
        <f>'Прил.8 Ведомств.'!H103</f>
        <v>0</v>
      </c>
    </row>
    <row r="118" spans="1:7" ht="31.5">
      <c r="A118" s="60" t="s">
        <v>367</v>
      </c>
      <c r="B118" s="7" t="s">
        <v>196</v>
      </c>
      <c r="C118" s="7" t="s">
        <v>207</v>
      </c>
      <c r="D118" s="7"/>
      <c r="E118" s="7"/>
      <c r="F118" s="61">
        <f>F124+F137+F119</f>
        <v>206468.90000000002</v>
      </c>
      <c r="G118" s="61">
        <f>G124+G137+G119</f>
        <v>32124.600000000002</v>
      </c>
    </row>
    <row r="119" spans="1:7" ht="30">
      <c r="A119" s="36" t="s">
        <v>545</v>
      </c>
      <c r="B119" s="7" t="s">
        <v>196</v>
      </c>
      <c r="C119" s="7" t="s">
        <v>207</v>
      </c>
      <c r="D119" s="7" t="s">
        <v>450</v>
      </c>
      <c r="E119" s="7"/>
      <c r="F119" s="61">
        <f>F120+F122</f>
        <v>45317.8</v>
      </c>
      <c r="G119" s="61">
        <f>G120+G122</f>
        <v>0</v>
      </c>
    </row>
    <row r="120" spans="1:7" ht="91.5" customHeight="1">
      <c r="A120" s="36" t="s">
        <v>375</v>
      </c>
      <c r="B120" s="7" t="s">
        <v>196</v>
      </c>
      <c r="C120" s="7" t="s">
        <v>207</v>
      </c>
      <c r="D120" s="7" t="s">
        <v>376</v>
      </c>
      <c r="E120" s="7"/>
      <c r="F120" s="61">
        <f>F121</f>
        <v>25561.2</v>
      </c>
      <c r="G120" s="61">
        <f>G121</f>
        <v>0</v>
      </c>
    </row>
    <row r="121" spans="1:7" ht="30">
      <c r="A121" s="36" t="s">
        <v>467</v>
      </c>
      <c r="B121" s="7" t="s">
        <v>196</v>
      </c>
      <c r="C121" s="7" t="s">
        <v>207</v>
      </c>
      <c r="D121" s="7" t="s">
        <v>376</v>
      </c>
      <c r="E121" s="7" t="s">
        <v>466</v>
      </c>
      <c r="F121" s="61">
        <v>25561.2</v>
      </c>
      <c r="G121" s="61">
        <f>'Прил.8 Ведомств.'!H109</f>
        <v>0</v>
      </c>
    </row>
    <row r="122" spans="1:7" ht="73.5" customHeight="1">
      <c r="A122" s="36" t="s">
        <v>377</v>
      </c>
      <c r="B122" s="7" t="s">
        <v>196</v>
      </c>
      <c r="C122" s="7" t="s">
        <v>207</v>
      </c>
      <c r="D122" s="7" t="s">
        <v>378</v>
      </c>
      <c r="E122" s="7"/>
      <c r="F122" s="61">
        <f>F123</f>
        <v>19756.6</v>
      </c>
      <c r="G122" s="61">
        <f>G123</f>
        <v>0</v>
      </c>
    </row>
    <row r="123" spans="1:7" ht="30">
      <c r="A123" s="36" t="s">
        <v>467</v>
      </c>
      <c r="B123" s="7" t="s">
        <v>196</v>
      </c>
      <c r="C123" s="7" t="s">
        <v>207</v>
      </c>
      <c r="D123" s="7" t="s">
        <v>378</v>
      </c>
      <c r="E123" s="7" t="s">
        <v>466</v>
      </c>
      <c r="F123" s="61">
        <v>19756.6</v>
      </c>
      <c r="G123" s="61">
        <f>'Прил.8 Ведомств.'!H111</f>
        <v>0</v>
      </c>
    </row>
    <row r="124" spans="1:7" ht="15">
      <c r="A124" s="36" t="s">
        <v>173</v>
      </c>
      <c r="B124" s="7" t="s">
        <v>196</v>
      </c>
      <c r="C124" s="7" t="s">
        <v>207</v>
      </c>
      <c r="D124" s="7" t="s">
        <v>60</v>
      </c>
      <c r="E124" s="7"/>
      <c r="F124" s="61">
        <f>F125</f>
        <v>76185</v>
      </c>
      <c r="G124" s="61">
        <f>G125</f>
        <v>25768.9</v>
      </c>
    </row>
    <row r="125" spans="1:7" ht="74.25" customHeight="1">
      <c r="A125" s="36" t="s">
        <v>62</v>
      </c>
      <c r="B125" s="7" t="s">
        <v>196</v>
      </c>
      <c r="C125" s="7" t="s">
        <v>207</v>
      </c>
      <c r="D125" s="7" t="s">
        <v>63</v>
      </c>
      <c r="E125" s="7"/>
      <c r="F125" s="61">
        <f>F126+F128+F130+F132+F134</f>
        <v>76185</v>
      </c>
      <c r="G125" s="61">
        <f>G126+G128+G130+G132+G134</f>
        <v>25768.9</v>
      </c>
    </row>
    <row r="126" spans="1:7" ht="45">
      <c r="A126" s="36" t="s">
        <v>546</v>
      </c>
      <c r="B126" s="7" t="s">
        <v>196</v>
      </c>
      <c r="C126" s="7" t="s">
        <v>207</v>
      </c>
      <c r="D126" s="7" t="s">
        <v>65</v>
      </c>
      <c r="E126" s="7"/>
      <c r="F126" s="61">
        <f>F127</f>
        <v>34460</v>
      </c>
      <c r="G126" s="61">
        <f>G127</f>
        <v>21333.4</v>
      </c>
    </row>
    <row r="127" spans="1:7" ht="75">
      <c r="A127" s="36" t="s">
        <v>547</v>
      </c>
      <c r="B127" s="7" t="s">
        <v>196</v>
      </c>
      <c r="C127" s="7" t="s">
        <v>207</v>
      </c>
      <c r="D127" s="7" t="s">
        <v>65</v>
      </c>
      <c r="E127" s="7" t="s">
        <v>496</v>
      </c>
      <c r="F127" s="61">
        <f>33960+500</f>
        <v>34460</v>
      </c>
      <c r="G127" s="61">
        <f>'Прил.8 Ведомств.'!H115</f>
        <v>21333.4</v>
      </c>
    </row>
    <row r="128" spans="1:7" ht="75" outlineLevel="1">
      <c r="A128" s="36" t="s">
        <v>548</v>
      </c>
      <c r="B128" s="7" t="s">
        <v>196</v>
      </c>
      <c r="C128" s="7" t="s">
        <v>207</v>
      </c>
      <c r="D128" s="7" t="s">
        <v>395</v>
      </c>
      <c r="E128" s="7"/>
      <c r="F128" s="61">
        <f>F129</f>
        <v>0</v>
      </c>
      <c r="G128" s="61">
        <f>G129</f>
        <v>0</v>
      </c>
    </row>
    <row r="129" spans="1:7" ht="75" outlineLevel="1">
      <c r="A129" s="36" t="s">
        <v>547</v>
      </c>
      <c r="B129" s="7" t="s">
        <v>196</v>
      </c>
      <c r="C129" s="7" t="s">
        <v>207</v>
      </c>
      <c r="D129" s="7" t="s">
        <v>395</v>
      </c>
      <c r="E129" s="7" t="s">
        <v>496</v>
      </c>
      <c r="F129" s="61">
        <f>500-500</f>
        <v>0</v>
      </c>
      <c r="G129" s="61">
        <f>500-500</f>
        <v>0</v>
      </c>
    </row>
    <row r="130" spans="1:7" ht="30">
      <c r="A130" s="36" t="s">
        <v>549</v>
      </c>
      <c r="B130" s="7" t="s">
        <v>196</v>
      </c>
      <c r="C130" s="7" t="s">
        <v>207</v>
      </c>
      <c r="D130" s="7" t="s">
        <v>64</v>
      </c>
      <c r="E130" s="7"/>
      <c r="F130" s="61">
        <f>F131</f>
        <v>11950</v>
      </c>
      <c r="G130" s="61">
        <f>G131</f>
        <v>3548.2</v>
      </c>
    </row>
    <row r="131" spans="1:7" ht="75">
      <c r="A131" s="36" t="s">
        <v>547</v>
      </c>
      <c r="B131" s="7" t="s">
        <v>196</v>
      </c>
      <c r="C131" s="7" t="s">
        <v>207</v>
      </c>
      <c r="D131" s="7" t="s">
        <v>64</v>
      </c>
      <c r="E131" s="7" t="s">
        <v>496</v>
      </c>
      <c r="F131" s="61">
        <f>11550+400</f>
        <v>11950</v>
      </c>
      <c r="G131" s="61">
        <f>'Прил.8 Ведомств.'!H119</f>
        <v>3548.2</v>
      </c>
    </row>
    <row r="132" spans="1:7" ht="60" outlineLevel="1">
      <c r="A132" s="36" t="s">
        <v>550</v>
      </c>
      <c r="B132" s="7" t="s">
        <v>196</v>
      </c>
      <c r="C132" s="7" t="s">
        <v>207</v>
      </c>
      <c r="D132" s="7" t="s">
        <v>164</v>
      </c>
      <c r="E132" s="7"/>
      <c r="F132" s="61">
        <f>F133</f>
        <v>0</v>
      </c>
      <c r="G132" s="61">
        <f>G133</f>
        <v>0</v>
      </c>
    </row>
    <row r="133" spans="1:7" ht="75" outlineLevel="1">
      <c r="A133" s="36" t="s">
        <v>547</v>
      </c>
      <c r="B133" s="7" t="s">
        <v>196</v>
      </c>
      <c r="C133" s="7" t="s">
        <v>207</v>
      </c>
      <c r="D133" s="7" t="s">
        <v>164</v>
      </c>
      <c r="E133" s="7" t="s">
        <v>496</v>
      </c>
      <c r="F133" s="61">
        <f>400-400</f>
        <v>0</v>
      </c>
      <c r="G133" s="61">
        <f>400-400</f>
        <v>0</v>
      </c>
    </row>
    <row r="134" spans="1:7" ht="30">
      <c r="A134" s="36" t="s">
        <v>252</v>
      </c>
      <c r="B134" s="7" t="s">
        <v>196</v>
      </c>
      <c r="C134" s="7" t="s">
        <v>207</v>
      </c>
      <c r="D134" s="7" t="s">
        <v>264</v>
      </c>
      <c r="E134" s="7"/>
      <c r="F134" s="61">
        <f>F135+F136</f>
        <v>29775</v>
      </c>
      <c r="G134" s="61">
        <f>G135+G136</f>
        <v>887.3</v>
      </c>
    </row>
    <row r="135" spans="1:7" ht="45">
      <c r="A135" s="36" t="s">
        <v>551</v>
      </c>
      <c r="B135" s="7" t="s">
        <v>196</v>
      </c>
      <c r="C135" s="7" t="s">
        <v>207</v>
      </c>
      <c r="D135" s="7" t="s">
        <v>264</v>
      </c>
      <c r="E135" s="7" t="s">
        <v>478</v>
      </c>
      <c r="F135" s="61">
        <v>2600</v>
      </c>
      <c r="G135" s="61">
        <f>'Прил.8 Ведомств.'!H123</f>
        <v>0</v>
      </c>
    </row>
    <row r="136" spans="1:7" ht="30">
      <c r="A136" s="36" t="s">
        <v>467</v>
      </c>
      <c r="B136" s="7" t="s">
        <v>196</v>
      </c>
      <c r="C136" s="7" t="s">
        <v>207</v>
      </c>
      <c r="D136" s="7" t="s">
        <v>264</v>
      </c>
      <c r="E136" s="7" t="s">
        <v>466</v>
      </c>
      <c r="F136" s="61">
        <f>10100+100+6500+125+10000+350</f>
        <v>27175</v>
      </c>
      <c r="G136" s="61">
        <f>'Прил.8 Ведомств.'!H124</f>
        <v>887.3</v>
      </c>
    </row>
    <row r="137" spans="1:7" ht="30.75" customHeight="1">
      <c r="A137" s="36" t="s">
        <v>206</v>
      </c>
      <c r="B137" s="7" t="s">
        <v>196</v>
      </c>
      <c r="C137" s="7" t="s">
        <v>207</v>
      </c>
      <c r="D137" s="7" t="s">
        <v>33</v>
      </c>
      <c r="E137" s="7"/>
      <c r="F137" s="61">
        <f>F138+F140</f>
        <v>84966.1</v>
      </c>
      <c r="G137" s="61">
        <f>G138+G140</f>
        <v>6355.7</v>
      </c>
    </row>
    <row r="138" spans="1:7" ht="105">
      <c r="A138" s="36" t="s">
        <v>397</v>
      </c>
      <c r="B138" s="7" t="s">
        <v>196</v>
      </c>
      <c r="C138" s="7" t="s">
        <v>207</v>
      </c>
      <c r="D138" s="7" t="s">
        <v>180</v>
      </c>
      <c r="E138" s="7"/>
      <c r="F138" s="61">
        <f>F139</f>
        <v>60633.4</v>
      </c>
      <c r="G138" s="61">
        <f>G139</f>
        <v>6355.7</v>
      </c>
    </row>
    <row r="139" spans="1:7" ht="30">
      <c r="A139" s="36" t="s">
        <v>467</v>
      </c>
      <c r="B139" s="7" t="s">
        <v>196</v>
      </c>
      <c r="C139" s="7" t="s">
        <v>207</v>
      </c>
      <c r="D139" s="7" t="s">
        <v>180</v>
      </c>
      <c r="E139" s="7" t="s">
        <v>466</v>
      </c>
      <c r="F139" s="61">
        <f>50633.4+10000</f>
        <v>60633.4</v>
      </c>
      <c r="G139" s="61">
        <f>'Прил.8 Ведомств.'!H127</f>
        <v>6355.7</v>
      </c>
    </row>
    <row r="140" spans="1:7" ht="135">
      <c r="A140" s="36" t="s">
        <v>552</v>
      </c>
      <c r="B140" s="7" t="s">
        <v>196</v>
      </c>
      <c r="C140" s="7" t="s">
        <v>207</v>
      </c>
      <c r="D140" s="7" t="s">
        <v>179</v>
      </c>
      <c r="E140" s="7"/>
      <c r="F140" s="61">
        <f>F141</f>
        <v>24332.7</v>
      </c>
      <c r="G140" s="61">
        <f>G141</f>
        <v>0</v>
      </c>
    </row>
    <row r="141" spans="1:7" ht="30">
      <c r="A141" s="36" t="s">
        <v>467</v>
      </c>
      <c r="B141" s="7" t="s">
        <v>196</v>
      </c>
      <c r="C141" s="7" t="s">
        <v>207</v>
      </c>
      <c r="D141" s="7" t="s">
        <v>179</v>
      </c>
      <c r="E141" s="7" t="s">
        <v>466</v>
      </c>
      <c r="F141" s="61">
        <v>24332.7</v>
      </c>
      <c r="G141" s="61">
        <f>'Прил.8 Ведомств.'!H129</f>
        <v>0</v>
      </c>
    </row>
    <row r="142" spans="1:7" ht="45">
      <c r="A142" s="36" t="s">
        <v>524</v>
      </c>
      <c r="B142" s="7" t="s">
        <v>196</v>
      </c>
      <c r="C142" s="7" t="s">
        <v>207</v>
      </c>
      <c r="D142" s="7" t="s">
        <v>179</v>
      </c>
      <c r="E142" s="7" t="s">
        <v>466</v>
      </c>
      <c r="F142" s="61">
        <v>1500</v>
      </c>
      <c r="G142" s="61">
        <f>'Прил.8 Ведомств.'!H130</f>
        <v>0</v>
      </c>
    </row>
    <row r="143" spans="1:7" ht="15.75">
      <c r="A143" s="60" t="s">
        <v>112</v>
      </c>
      <c r="B143" s="7" t="s">
        <v>196</v>
      </c>
      <c r="C143" s="7" t="s">
        <v>208</v>
      </c>
      <c r="D143" s="7"/>
      <c r="E143" s="7"/>
      <c r="F143" s="61">
        <v>180</v>
      </c>
      <c r="G143" s="61">
        <f>G144</f>
        <v>17.3</v>
      </c>
    </row>
    <row r="144" spans="1:7" ht="30">
      <c r="A144" s="36" t="s">
        <v>41</v>
      </c>
      <c r="B144" s="7" t="s">
        <v>196</v>
      </c>
      <c r="C144" s="7" t="s">
        <v>208</v>
      </c>
      <c r="D144" s="7" t="s">
        <v>42</v>
      </c>
      <c r="E144" s="7"/>
      <c r="F144" s="61">
        <v>180</v>
      </c>
      <c r="G144" s="61">
        <f>G145</f>
        <v>17.3</v>
      </c>
    </row>
    <row r="145" spans="1:7" ht="42.75" customHeight="1">
      <c r="A145" s="36" t="s">
        <v>43</v>
      </c>
      <c r="B145" s="7" t="s">
        <v>196</v>
      </c>
      <c r="C145" s="7" t="s">
        <v>208</v>
      </c>
      <c r="D145" s="7" t="s">
        <v>44</v>
      </c>
      <c r="E145" s="7"/>
      <c r="F145" s="61">
        <v>180</v>
      </c>
      <c r="G145" s="61">
        <f>G146</f>
        <v>17.3</v>
      </c>
    </row>
    <row r="146" spans="1:7" ht="45">
      <c r="A146" s="36" t="s">
        <v>484</v>
      </c>
      <c r="B146" s="7" t="s">
        <v>196</v>
      </c>
      <c r="C146" s="7" t="s">
        <v>208</v>
      </c>
      <c r="D146" s="7" t="s">
        <v>44</v>
      </c>
      <c r="E146" s="7" t="s">
        <v>483</v>
      </c>
      <c r="F146" s="61">
        <v>180</v>
      </c>
      <c r="G146" s="61">
        <f>'Прил.8 Ведомств.'!H134</f>
        <v>17.3</v>
      </c>
    </row>
    <row r="147" spans="1:7" ht="31.5">
      <c r="A147" s="60" t="s">
        <v>113</v>
      </c>
      <c r="B147" s="7" t="s">
        <v>196</v>
      </c>
      <c r="C147" s="7" t="s">
        <v>209</v>
      </c>
      <c r="D147" s="7"/>
      <c r="E147" s="7"/>
      <c r="F147" s="61">
        <f>F149+F152+F154</f>
        <v>3970</v>
      </c>
      <c r="G147" s="61">
        <f>G149+G152+G154</f>
        <v>1793.1</v>
      </c>
    </row>
    <row r="148" spans="1:7" ht="90">
      <c r="A148" s="36" t="s">
        <v>387</v>
      </c>
      <c r="B148" s="7" t="s">
        <v>196</v>
      </c>
      <c r="C148" s="7" t="s">
        <v>209</v>
      </c>
      <c r="D148" s="7" t="s">
        <v>388</v>
      </c>
      <c r="E148" s="7"/>
      <c r="F148" s="61">
        <f>F149</f>
        <v>1200</v>
      </c>
      <c r="G148" s="61">
        <f>G149</f>
        <v>1200</v>
      </c>
    </row>
    <row r="149" spans="1:7" ht="30">
      <c r="A149" s="36" t="s">
        <v>467</v>
      </c>
      <c r="B149" s="7" t="s">
        <v>196</v>
      </c>
      <c r="C149" s="7" t="s">
        <v>209</v>
      </c>
      <c r="D149" s="7" t="s">
        <v>388</v>
      </c>
      <c r="E149" s="7" t="s">
        <v>466</v>
      </c>
      <c r="F149" s="61">
        <f>1500-300</f>
        <v>1200</v>
      </c>
      <c r="G149" s="61">
        <f>'Прил.8 Ведомств.'!H137</f>
        <v>1200</v>
      </c>
    </row>
    <row r="150" spans="1:7" ht="45">
      <c r="A150" s="36" t="s">
        <v>46</v>
      </c>
      <c r="B150" s="7" t="s">
        <v>196</v>
      </c>
      <c r="C150" s="7" t="s">
        <v>209</v>
      </c>
      <c r="D150" s="7" t="s">
        <v>47</v>
      </c>
      <c r="E150" s="7"/>
      <c r="F150" s="61">
        <f>F151</f>
        <v>2000</v>
      </c>
      <c r="G150" s="61">
        <f>G151</f>
        <v>190.6</v>
      </c>
    </row>
    <row r="151" spans="1:7" ht="30">
      <c r="A151" s="36" t="s">
        <v>101</v>
      </c>
      <c r="B151" s="7" t="s">
        <v>196</v>
      </c>
      <c r="C151" s="7" t="s">
        <v>209</v>
      </c>
      <c r="D151" s="7" t="s">
        <v>48</v>
      </c>
      <c r="E151" s="7"/>
      <c r="F151" s="61">
        <f>F152</f>
        <v>2000</v>
      </c>
      <c r="G151" s="61">
        <f>G152</f>
        <v>190.6</v>
      </c>
    </row>
    <row r="152" spans="1:7" ht="30">
      <c r="A152" s="36" t="s">
        <v>467</v>
      </c>
      <c r="B152" s="7" t="s">
        <v>196</v>
      </c>
      <c r="C152" s="7" t="s">
        <v>209</v>
      </c>
      <c r="D152" s="7" t="s">
        <v>48</v>
      </c>
      <c r="E152" s="7" t="s">
        <v>466</v>
      </c>
      <c r="F152" s="61">
        <v>2000</v>
      </c>
      <c r="G152" s="61">
        <f>'Прил.8 Ведомств.'!H42</f>
        <v>190.6</v>
      </c>
    </row>
    <row r="153" spans="1:7" ht="32.25" customHeight="1">
      <c r="A153" s="36" t="s">
        <v>206</v>
      </c>
      <c r="B153" s="7" t="s">
        <v>196</v>
      </c>
      <c r="C153" s="7" t="s">
        <v>209</v>
      </c>
      <c r="D153" s="7" t="s">
        <v>33</v>
      </c>
      <c r="E153" s="7"/>
      <c r="F153" s="61">
        <v>770</v>
      </c>
      <c r="G153" s="61">
        <f>G154</f>
        <v>402.5</v>
      </c>
    </row>
    <row r="154" spans="1:7" ht="75">
      <c r="A154" s="36" t="s">
        <v>553</v>
      </c>
      <c r="B154" s="7" t="s">
        <v>196</v>
      </c>
      <c r="C154" s="7" t="s">
        <v>209</v>
      </c>
      <c r="D154" s="7" t="s">
        <v>183</v>
      </c>
      <c r="E154" s="7"/>
      <c r="F154" s="61">
        <v>770</v>
      </c>
      <c r="G154" s="61">
        <f>G155+G156</f>
        <v>402.5</v>
      </c>
    </row>
    <row r="155" spans="1:7" ht="75">
      <c r="A155" s="36" t="s">
        <v>547</v>
      </c>
      <c r="B155" s="7" t="s">
        <v>196</v>
      </c>
      <c r="C155" s="7" t="s">
        <v>209</v>
      </c>
      <c r="D155" s="7" t="s">
        <v>183</v>
      </c>
      <c r="E155" s="7" t="s">
        <v>496</v>
      </c>
      <c r="F155" s="61">
        <v>300</v>
      </c>
      <c r="G155" s="61">
        <f>'Прил.8 Ведомств.'!H140</f>
        <v>300</v>
      </c>
    </row>
    <row r="156" spans="1:7" ht="30">
      <c r="A156" s="36" t="s">
        <v>467</v>
      </c>
      <c r="B156" s="7" t="s">
        <v>196</v>
      </c>
      <c r="C156" s="7" t="s">
        <v>209</v>
      </c>
      <c r="D156" s="7" t="s">
        <v>183</v>
      </c>
      <c r="E156" s="7" t="s">
        <v>466</v>
      </c>
      <c r="F156" s="61">
        <v>470</v>
      </c>
      <c r="G156" s="61">
        <f>'Прил.8 Ведомств.'!H141</f>
        <v>102.5</v>
      </c>
    </row>
    <row r="157" spans="1:7" ht="31.5">
      <c r="A157" s="57" t="s">
        <v>5</v>
      </c>
      <c r="B157" s="6" t="s">
        <v>211</v>
      </c>
      <c r="C157" s="6" t="s">
        <v>194</v>
      </c>
      <c r="D157" s="6"/>
      <c r="E157" s="6"/>
      <c r="F157" s="59">
        <f>F158+F180+F210</f>
        <v>227697.7</v>
      </c>
      <c r="G157" s="59">
        <f>G158+G180+G210</f>
        <v>48469.09999999999</v>
      </c>
    </row>
    <row r="158" spans="1:7" ht="15.75">
      <c r="A158" s="60" t="s">
        <v>135</v>
      </c>
      <c r="B158" s="7" t="s">
        <v>211</v>
      </c>
      <c r="C158" s="7" t="s">
        <v>193</v>
      </c>
      <c r="D158" s="7"/>
      <c r="E158" s="7"/>
      <c r="F158" s="61">
        <f>F159+F162</f>
        <v>51765.6</v>
      </c>
      <c r="G158" s="61">
        <f>G159+G162</f>
        <v>8105.7</v>
      </c>
    </row>
    <row r="159" spans="1:7" ht="45">
      <c r="A159" s="36" t="s">
        <v>125</v>
      </c>
      <c r="B159" s="7" t="s">
        <v>211</v>
      </c>
      <c r="C159" s="7" t="s">
        <v>193</v>
      </c>
      <c r="D159" s="7" t="s">
        <v>49</v>
      </c>
      <c r="E159" s="7"/>
      <c r="F159" s="61">
        <f>F160</f>
        <v>2082.5</v>
      </c>
      <c r="G159" s="61">
        <f>G160</f>
        <v>2082.5</v>
      </c>
    </row>
    <row r="160" spans="1:7" ht="60">
      <c r="A160" s="36" t="s">
        <v>212</v>
      </c>
      <c r="B160" s="7" t="s">
        <v>211</v>
      </c>
      <c r="C160" s="7" t="s">
        <v>193</v>
      </c>
      <c r="D160" s="7" t="s">
        <v>31</v>
      </c>
      <c r="E160" s="7"/>
      <c r="F160" s="61">
        <f>F161</f>
        <v>2082.5</v>
      </c>
      <c r="G160" s="61">
        <f>G161</f>
        <v>2082.5</v>
      </c>
    </row>
    <row r="161" spans="1:7" ht="30">
      <c r="A161" s="36" t="s">
        <v>499</v>
      </c>
      <c r="B161" s="7" t="s">
        <v>211</v>
      </c>
      <c r="C161" s="7" t="s">
        <v>193</v>
      </c>
      <c r="D161" s="7" t="s">
        <v>31</v>
      </c>
      <c r="E161" s="7" t="s">
        <v>498</v>
      </c>
      <c r="F161" s="61">
        <f>2092.5-10</f>
        <v>2082.5</v>
      </c>
      <c r="G161" s="61">
        <f>'Прил.8 Ведомств.'!H146</f>
        <v>2082.5</v>
      </c>
    </row>
    <row r="162" spans="1:7" ht="15">
      <c r="A162" s="36" t="s">
        <v>50</v>
      </c>
      <c r="B162" s="7" t="s">
        <v>211</v>
      </c>
      <c r="C162" s="7" t="s">
        <v>193</v>
      </c>
      <c r="D162" s="7" t="s">
        <v>51</v>
      </c>
      <c r="E162" s="7"/>
      <c r="F162" s="61">
        <f>F163+F165+F170+F167</f>
        <v>49683.1</v>
      </c>
      <c r="G162" s="61">
        <f>G163+G165+G170+G167</f>
        <v>6023.2</v>
      </c>
    </row>
    <row r="163" spans="1:7" ht="237.75" customHeight="1">
      <c r="A163" s="41" t="s">
        <v>427</v>
      </c>
      <c r="B163" s="7" t="s">
        <v>211</v>
      </c>
      <c r="C163" s="7" t="s">
        <v>193</v>
      </c>
      <c r="D163" s="7" t="s">
        <v>170</v>
      </c>
      <c r="E163" s="7"/>
      <c r="F163" s="61">
        <f>F164</f>
        <v>6756.4</v>
      </c>
      <c r="G163" s="61">
        <f>G164</f>
        <v>2787.1</v>
      </c>
    </row>
    <row r="164" spans="1:7" ht="75">
      <c r="A164" s="36" t="s">
        <v>547</v>
      </c>
      <c r="B164" s="7" t="s">
        <v>211</v>
      </c>
      <c r="C164" s="7" t="s">
        <v>193</v>
      </c>
      <c r="D164" s="7" t="s">
        <v>170</v>
      </c>
      <c r="E164" s="7" t="s">
        <v>496</v>
      </c>
      <c r="F164" s="61">
        <f>5000+1285.7+470.7</f>
        <v>6756.4</v>
      </c>
      <c r="G164" s="61">
        <f>'Прил.8 Ведомств.'!H149</f>
        <v>2787.1</v>
      </c>
    </row>
    <row r="165" spans="1:7" ht="60">
      <c r="A165" s="36" t="s">
        <v>554</v>
      </c>
      <c r="B165" s="7" t="s">
        <v>211</v>
      </c>
      <c r="C165" s="7" t="s">
        <v>193</v>
      </c>
      <c r="D165" s="7" t="s">
        <v>213</v>
      </c>
      <c r="E165" s="7"/>
      <c r="F165" s="61">
        <f>F166</f>
        <v>1000</v>
      </c>
      <c r="G165" s="61">
        <f>G166</f>
        <v>0</v>
      </c>
    </row>
    <row r="166" spans="1:7" ht="75">
      <c r="A166" s="36" t="s">
        <v>547</v>
      </c>
      <c r="B166" s="7" t="s">
        <v>211</v>
      </c>
      <c r="C166" s="7" t="s">
        <v>193</v>
      </c>
      <c r="D166" s="7" t="s">
        <v>213</v>
      </c>
      <c r="E166" s="7" t="s">
        <v>496</v>
      </c>
      <c r="F166" s="61">
        <v>1000</v>
      </c>
      <c r="G166" s="61">
        <f>'Прил.8 Ведомств.'!H151</f>
        <v>0</v>
      </c>
    </row>
    <row r="167" spans="1:7" ht="30">
      <c r="A167" s="64" t="s">
        <v>555</v>
      </c>
      <c r="B167" s="7" t="s">
        <v>211</v>
      </c>
      <c r="C167" s="7" t="s">
        <v>193</v>
      </c>
      <c r="D167" s="7" t="s">
        <v>119</v>
      </c>
      <c r="E167" s="7"/>
      <c r="F167" s="61">
        <f>F168</f>
        <v>17000</v>
      </c>
      <c r="G167" s="61">
        <f>G168</f>
        <v>1520.2</v>
      </c>
    </row>
    <row r="168" spans="1:7" ht="181.5" customHeight="1">
      <c r="A168" s="65" t="s">
        <v>556</v>
      </c>
      <c r="B168" s="7" t="s">
        <v>211</v>
      </c>
      <c r="C168" s="7" t="s">
        <v>193</v>
      </c>
      <c r="D168" s="7" t="s">
        <v>285</v>
      </c>
      <c r="E168" s="7"/>
      <c r="F168" s="61">
        <f>F169</f>
        <v>17000</v>
      </c>
      <c r="G168" s="61">
        <f>G169</f>
        <v>1520.2</v>
      </c>
    </row>
    <row r="169" spans="1:7" ht="75">
      <c r="A169" s="36" t="s">
        <v>547</v>
      </c>
      <c r="B169" s="7" t="s">
        <v>211</v>
      </c>
      <c r="C169" s="7" t="s">
        <v>193</v>
      </c>
      <c r="D169" s="7" t="s">
        <v>285</v>
      </c>
      <c r="E169" s="7" t="s">
        <v>496</v>
      </c>
      <c r="F169" s="61">
        <f>13000+4000</f>
        <v>17000</v>
      </c>
      <c r="G169" s="61">
        <f>'Прил.8 Ведомств.'!H154</f>
        <v>1520.2</v>
      </c>
    </row>
    <row r="170" spans="1:7" ht="30">
      <c r="A170" s="36" t="s">
        <v>128</v>
      </c>
      <c r="B170" s="7" t="s">
        <v>211</v>
      </c>
      <c r="C170" s="7" t="s">
        <v>193</v>
      </c>
      <c r="D170" s="7" t="s">
        <v>122</v>
      </c>
      <c r="E170" s="7"/>
      <c r="F170" s="61">
        <f>F171+F174+F176+F178</f>
        <v>24926.7</v>
      </c>
      <c r="G170" s="61">
        <f>G171+G174+G176+G178</f>
        <v>1715.8999999999999</v>
      </c>
    </row>
    <row r="171" spans="1:7" ht="45">
      <c r="A171" s="36" t="s">
        <v>460</v>
      </c>
      <c r="B171" s="7" t="s">
        <v>211</v>
      </c>
      <c r="C171" s="7" t="s">
        <v>193</v>
      </c>
      <c r="D171" s="7" t="s">
        <v>120</v>
      </c>
      <c r="E171" s="7"/>
      <c r="F171" s="61">
        <f>F172+F173</f>
        <v>3650</v>
      </c>
      <c r="G171" s="61">
        <f>G172+G173</f>
        <v>255.3</v>
      </c>
    </row>
    <row r="172" spans="1:7" ht="30">
      <c r="A172" s="36" t="s">
        <v>467</v>
      </c>
      <c r="B172" s="7" t="s">
        <v>211</v>
      </c>
      <c r="C172" s="7" t="s">
        <v>193</v>
      </c>
      <c r="D172" s="7" t="s">
        <v>120</v>
      </c>
      <c r="E172" s="7" t="s">
        <v>466</v>
      </c>
      <c r="F172" s="61">
        <f>150+4000-4000</f>
        <v>150</v>
      </c>
      <c r="G172" s="61">
        <f>'Прил.8 Ведомств.'!H159</f>
        <v>120.3</v>
      </c>
    </row>
    <row r="173" spans="1:7" ht="75">
      <c r="A173" s="36" t="s">
        <v>547</v>
      </c>
      <c r="B173" s="7" t="s">
        <v>211</v>
      </c>
      <c r="C173" s="7" t="s">
        <v>193</v>
      </c>
      <c r="D173" s="7" t="s">
        <v>120</v>
      </c>
      <c r="E173" s="7" t="s">
        <v>496</v>
      </c>
      <c r="F173" s="61">
        <v>3500</v>
      </c>
      <c r="G173" s="61">
        <f>'Прил.8 Ведомств.'!H160</f>
        <v>135</v>
      </c>
    </row>
    <row r="174" spans="1:7" ht="30">
      <c r="A174" s="36" t="s">
        <v>453</v>
      </c>
      <c r="B174" s="7" t="s">
        <v>211</v>
      </c>
      <c r="C174" s="7" t="s">
        <v>193</v>
      </c>
      <c r="D174" s="7" t="s">
        <v>121</v>
      </c>
      <c r="E174" s="7"/>
      <c r="F174" s="61">
        <f>F175</f>
        <v>2976.7</v>
      </c>
      <c r="G174" s="61">
        <f>G175</f>
        <v>1325.6</v>
      </c>
    </row>
    <row r="175" spans="1:7" ht="75">
      <c r="A175" s="36" t="s">
        <v>547</v>
      </c>
      <c r="B175" s="7" t="s">
        <v>211</v>
      </c>
      <c r="C175" s="7" t="s">
        <v>193</v>
      </c>
      <c r="D175" s="7" t="s">
        <v>121</v>
      </c>
      <c r="E175" s="7" t="s">
        <v>496</v>
      </c>
      <c r="F175" s="61">
        <f>2770.7+206</f>
        <v>2976.7</v>
      </c>
      <c r="G175" s="61">
        <f>'Прил.8 Ведомств.'!H162</f>
        <v>1325.6</v>
      </c>
    </row>
    <row r="176" spans="1:7" ht="89.25" customHeight="1">
      <c r="A176" s="66" t="s">
        <v>410</v>
      </c>
      <c r="B176" s="7" t="s">
        <v>211</v>
      </c>
      <c r="C176" s="7" t="s">
        <v>193</v>
      </c>
      <c r="D176" s="7" t="s">
        <v>396</v>
      </c>
      <c r="E176" s="7"/>
      <c r="F176" s="61">
        <f>F177</f>
        <v>16000</v>
      </c>
      <c r="G176" s="61">
        <f>G177</f>
        <v>135</v>
      </c>
    </row>
    <row r="177" spans="1:7" ht="75">
      <c r="A177" s="36" t="s">
        <v>547</v>
      </c>
      <c r="B177" s="7" t="s">
        <v>211</v>
      </c>
      <c r="C177" s="7" t="s">
        <v>193</v>
      </c>
      <c r="D177" s="7" t="s">
        <v>396</v>
      </c>
      <c r="E177" s="7" t="s">
        <v>496</v>
      </c>
      <c r="F177" s="61">
        <v>16000</v>
      </c>
      <c r="G177" s="61">
        <f>'Прил.8 Ведомств.'!H166</f>
        <v>135</v>
      </c>
    </row>
    <row r="178" spans="1:7" ht="45">
      <c r="A178" s="36" t="s">
        <v>557</v>
      </c>
      <c r="B178" s="7" t="s">
        <v>211</v>
      </c>
      <c r="C178" s="7" t="s">
        <v>193</v>
      </c>
      <c r="D178" s="7" t="s">
        <v>502</v>
      </c>
      <c r="E178" s="7"/>
      <c r="F178" s="61">
        <f>F179</f>
        <v>2300</v>
      </c>
      <c r="G178" s="61">
        <f>G179</f>
        <v>0</v>
      </c>
    </row>
    <row r="179" spans="1:7" ht="15">
      <c r="A179" s="36" t="s">
        <v>500</v>
      </c>
      <c r="B179" s="7" t="s">
        <v>211</v>
      </c>
      <c r="C179" s="7" t="s">
        <v>193</v>
      </c>
      <c r="D179" s="7" t="s">
        <v>502</v>
      </c>
      <c r="E179" s="7" t="s">
        <v>501</v>
      </c>
      <c r="F179" s="61">
        <v>2300</v>
      </c>
      <c r="G179" s="61">
        <f>'Прил.8 Ведомств.'!H171</f>
        <v>0</v>
      </c>
    </row>
    <row r="180" spans="1:7" ht="15.75">
      <c r="A180" s="60" t="s">
        <v>136</v>
      </c>
      <c r="B180" s="7" t="s">
        <v>211</v>
      </c>
      <c r="C180" s="7" t="s">
        <v>214</v>
      </c>
      <c r="D180" s="7"/>
      <c r="E180" s="7"/>
      <c r="F180" s="61">
        <f>F181+F184+F200</f>
        <v>71384</v>
      </c>
      <c r="G180" s="61">
        <f>G181+G184+G200</f>
        <v>2619.1000000000004</v>
      </c>
    </row>
    <row r="181" spans="1:7" ht="45">
      <c r="A181" s="36" t="s">
        <v>52</v>
      </c>
      <c r="B181" s="7" t="s">
        <v>211</v>
      </c>
      <c r="C181" s="7" t="s">
        <v>214</v>
      </c>
      <c r="D181" s="7" t="s">
        <v>49</v>
      </c>
      <c r="E181" s="7"/>
      <c r="F181" s="61">
        <f>F182</f>
        <v>29042</v>
      </c>
      <c r="G181" s="61">
        <f>G182</f>
        <v>0</v>
      </c>
    </row>
    <row r="182" spans="1:7" ht="60">
      <c r="A182" s="36" t="s">
        <v>59</v>
      </c>
      <c r="B182" s="7" t="s">
        <v>211</v>
      </c>
      <c r="C182" s="7" t="s">
        <v>214</v>
      </c>
      <c r="D182" s="7" t="s">
        <v>31</v>
      </c>
      <c r="E182" s="7"/>
      <c r="F182" s="61">
        <f>F183</f>
        <v>29042</v>
      </c>
      <c r="G182" s="61">
        <f>G183</f>
        <v>0</v>
      </c>
    </row>
    <row r="183" spans="1:7" ht="45">
      <c r="A183" s="36" t="s">
        <v>558</v>
      </c>
      <c r="B183" s="7" t="s">
        <v>211</v>
      </c>
      <c r="C183" s="7" t="s">
        <v>214</v>
      </c>
      <c r="D183" s="7" t="s">
        <v>31</v>
      </c>
      <c r="E183" s="7" t="s">
        <v>503</v>
      </c>
      <c r="F183" s="61">
        <f>5000+2662+780+600+20000</f>
        <v>29042</v>
      </c>
      <c r="G183" s="61">
        <f>'Прил.8 Ведомств.'!H175</f>
        <v>0</v>
      </c>
    </row>
    <row r="184" spans="1:7" ht="30">
      <c r="A184" s="36" t="s">
        <v>54</v>
      </c>
      <c r="B184" s="7" t="s">
        <v>211</v>
      </c>
      <c r="C184" s="7" t="s">
        <v>214</v>
      </c>
      <c r="D184" s="7" t="s">
        <v>55</v>
      </c>
      <c r="E184" s="7"/>
      <c r="F184" s="61">
        <f>F185+F187+F189</f>
        <v>15037</v>
      </c>
      <c r="G184" s="61">
        <f>G185+G187+G189</f>
        <v>2619.1000000000004</v>
      </c>
    </row>
    <row r="185" spans="1:7" ht="147.75" customHeight="1">
      <c r="A185" s="36" t="s">
        <v>428</v>
      </c>
      <c r="B185" s="7" t="s">
        <v>211</v>
      </c>
      <c r="C185" s="7" t="s">
        <v>214</v>
      </c>
      <c r="D185" s="7" t="s">
        <v>56</v>
      </c>
      <c r="E185" s="7"/>
      <c r="F185" s="61">
        <f>F186</f>
        <v>1500</v>
      </c>
      <c r="G185" s="61">
        <f>G186</f>
        <v>1201</v>
      </c>
    </row>
    <row r="186" spans="1:7" ht="75">
      <c r="A186" s="36" t="s">
        <v>547</v>
      </c>
      <c r="B186" s="7" t="s">
        <v>211</v>
      </c>
      <c r="C186" s="7" t="s">
        <v>214</v>
      </c>
      <c r="D186" s="7" t="s">
        <v>56</v>
      </c>
      <c r="E186" s="7" t="s">
        <v>496</v>
      </c>
      <c r="F186" s="61">
        <v>1500</v>
      </c>
      <c r="G186" s="61">
        <f>'Прил.8 Ведомств.'!H178</f>
        <v>1201</v>
      </c>
    </row>
    <row r="187" spans="1:7" ht="92.25" customHeight="1">
      <c r="A187" s="36" t="s">
        <v>337</v>
      </c>
      <c r="B187" s="7" t="s">
        <v>211</v>
      </c>
      <c r="C187" s="7" t="s">
        <v>214</v>
      </c>
      <c r="D187" s="7" t="s">
        <v>57</v>
      </c>
      <c r="E187" s="7"/>
      <c r="F187" s="61">
        <v>500</v>
      </c>
      <c r="G187" s="61">
        <f>G188</f>
        <v>0</v>
      </c>
    </row>
    <row r="188" spans="1:7" ht="75">
      <c r="A188" s="36" t="s">
        <v>547</v>
      </c>
      <c r="B188" s="7" t="s">
        <v>211</v>
      </c>
      <c r="C188" s="7" t="s">
        <v>214</v>
      </c>
      <c r="D188" s="7" t="s">
        <v>57</v>
      </c>
      <c r="E188" s="7" t="s">
        <v>496</v>
      </c>
      <c r="F188" s="61">
        <v>500</v>
      </c>
      <c r="G188" s="61">
        <f>'Прил.8 Ведомств.'!H180</f>
        <v>0</v>
      </c>
    </row>
    <row r="189" spans="1:7" ht="30">
      <c r="A189" s="36" t="s">
        <v>215</v>
      </c>
      <c r="B189" s="7" t="s">
        <v>211</v>
      </c>
      <c r="C189" s="7" t="s">
        <v>214</v>
      </c>
      <c r="D189" s="7" t="s">
        <v>58</v>
      </c>
      <c r="E189" s="7"/>
      <c r="F189" s="61">
        <f>F191+F192+F196+F197</f>
        <v>13037</v>
      </c>
      <c r="G189" s="61">
        <f>G191+G192+G196+G197</f>
        <v>1418.1000000000001</v>
      </c>
    </row>
    <row r="190" spans="1:7" ht="90">
      <c r="A190" s="36" t="s">
        <v>336</v>
      </c>
      <c r="B190" s="7" t="s">
        <v>211</v>
      </c>
      <c r="C190" s="7" t="s">
        <v>214</v>
      </c>
      <c r="D190" s="7" t="s">
        <v>159</v>
      </c>
      <c r="E190" s="7"/>
      <c r="F190" s="61">
        <f>F191</f>
        <v>2800</v>
      </c>
      <c r="G190" s="61">
        <f>G191</f>
        <v>1332.2</v>
      </c>
    </row>
    <row r="191" spans="1:7" ht="75">
      <c r="A191" s="36" t="s">
        <v>547</v>
      </c>
      <c r="B191" s="7" t="s">
        <v>211</v>
      </c>
      <c r="C191" s="7" t="s">
        <v>214</v>
      </c>
      <c r="D191" s="7" t="s">
        <v>159</v>
      </c>
      <c r="E191" s="7" t="s">
        <v>496</v>
      </c>
      <c r="F191" s="61">
        <v>2800</v>
      </c>
      <c r="G191" s="61">
        <f>'Прил.8 Ведомств.'!H183</f>
        <v>1332.2</v>
      </c>
    </row>
    <row r="192" spans="1:7" ht="45">
      <c r="A192" s="36" t="s">
        <v>559</v>
      </c>
      <c r="B192" s="7" t="s">
        <v>211</v>
      </c>
      <c r="C192" s="7" t="s">
        <v>214</v>
      </c>
      <c r="D192" s="7" t="s">
        <v>97</v>
      </c>
      <c r="E192" s="7"/>
      <c r="F192" s="61">
        <f>F193+F194</f>
        <v>150</v>
      </c>
      <c r="G192" s="61">
        <f>G193+G194</f>
        <v>46.9</v>
      </c>
    </row>
    <row r="193" spans="1:7" ht="45">
      <c r="A193" s="63" t="s">
        <v>509</v>
      </c>
      <c r="B193" s="7" t="s">
        <v>211</v>
      </c>
      <c r="C193" s="7" t="s">
        <v>214</v>
      </c>
      <c r="D193" s="7" t="s">
        <v>97</v>
      </c>
      <c r="E193" s="7" t="s">
        <v>508</v>
      </c>
      <c r="F193" s="61">
        <v>149</v>
      </c>
      <c r="G193" s="61">
        <f>'Прил.8 Ведомств.'!H185</f>
        <v>46.5</v>
      </c>
    </row>
    <row r="194" spans="1:7" ht="30">
      <c r="A194" s="36" t="s">
        <v>506</v>
      </c>
      <c r="B194" s="7" t="s">
        <v>211</v>
      </c>
      <c r="C194" s="7" t="s">
        <v>214</v>
      </c>
      <c r="D194" s="7" t="s">
        <v>97</v>
      </c>
      <c r="E194" s="7" t="s">
        <v>505</v>
      </c>
      <c r="F194" s="61">
        <v>1</v>
      </c>
      <c r="G194" s="61">
        <f>'Прил.8 Ведомств.'!H186</f>
        <v>0.4</v>
      </c>
    </row>
    <row r="195" spans="1:7" ht="15">
      <c r="A195" s="36" t="s">
        <v>560</v>
      </c>
      <c r="B195" s="7" t="s">
        <v>211</v>
      </c>
      <c r="C195" s="7" t="s">
        <v>214</v>
      </c>
      <c r="D195" s="7" t="s">
        <v>284</v>
      </c>
      <c r="E195" s="7"/>
      <c r="F195" s="61">
        <f>F196</f>
        <v>360</v>
      </c>
      <c r="G195" s="61">
        <f>G196</f>
        <v>39</v>
      </c>
    </row>
    <row r="196" spans="1:7" ht="30">
      <c r="A196" s="36" t="s">
        <v>467</v>
      </c>
      <c r="B196" s="7" t="s">
        <v>211</v>
      </c>
      <c r="C196" s="7" t="s">
        <v>214</v>
      </c>
      <c r="D196" s="7" t="s">
        <v>284</v>
      </c>
      <c r="E196" s="7" t="s">
        <v>466</v>
      </c>
      <c r="F196" s="61">
        <f>1160-800</f>
        <v>360</v>
      </c>
      <c r="G196" s="61">
        <f>'Прил.8 Ведомств.'!H188</f>
        <v>39</v>
      </c>
    </row>
    <row r="197" spans="1:7" ht="30">
      <c r="A197" s="36" t="s">
        <v>335</v>
      </c>
      <c r="B197" s="7" t="s">
        <v>211</v>
      </c>
      <c r="C197" s="7" t="s">
        <v>214</v>
      </c>
      <c r="D197" s="7" t="s">
        <v>412</v>
      </c>
      <c r="E197" s="7"/>
      <c r="F197" s="61">
        <f>F198+F199</f>
        <v>9727</v>
      </c>
      <c r="G197" s="61">
        <f>G198+G199</f>
        <v>0</v>
      </c>
    </row>
    <row r="198" spans="1:7" ht="45">
      <c r="A198" s="36" t="s">
        <v>551</v>
      </c>
      <c r="B198" s="7" t="s">
        <v>211</v>
      </c>
      <c r="C198" s="7" t="s">
        <v>214</v>
      </c>
      <c r="D198" s="7" t="s">
        <v>412</v>
      </c>
      <c r="E198" s="7" t="s">
        <v>478</v>
      </c>
      <c r="F198" s="61">
        <v>2727</v>
      </c>
      <c r="G198" s="61">
        <f>'Прил.8 Ведомств.'!H192</f>
        <v>0</v>
      </c>
    </row>
    <row r="199" spans="1:7" ht="75">
      <c r="A199" s="36" t="s">
        <v>507</v>
      </c>
      <c r="B199" s="7" t="s">
        <v>211</v>
      </c>
      <c r="C199" s="7" t="s">
        <v>214</v>
      </c>
      <c r="D199" s="7" t="s">
        <v>412</v>
      </c>
      <c r="E199" s="7" t="s">
        <v>477</v>
      </c>
      <c r="F199" s="61">
        <v>7000</v>
      </c>
      <c r="G199" s="61">
        <f>'Прил.8 Ведомств.'!H193</f>
        <v>0</v>
      </c>
    </row>
    <row r="200" spans="1:7" ht="30">
      <c r="A200" s="36" t="s">
        <v>216</v>
      </c>
      <c r="B200" s="7" t="s">
        <v>211</v>
      </c>
      <c r="C200" s="7" t="s">
        <v>214</v>
      </c>
      <c r="D200" s="7" t="s">
        <v>33</v>
      </c>
      <c r="E200" s="7"/>
      <c r="F200" s="61">
        <f>F201+F203+F205+F209</f>
        <v>27305</v>
      </c>
      <c r="G200" s="61">
        <f>G201+G203+G205+G209</f>
        <v>0</v>
      </c>
    </row>
    <row r="201" spans="1:7" ht="120">
      <c r="A201" s="36" t="s">
        <v>217</v>
      </c>
      <c r="B201" s="7" t="s">
        <v>211</v>
      </c>
      <c r="C201" s="7" t="s">
        <v>214</v>
      </c>
      <c r="D201" s="7" t="s">
        <v>116</v>
      </c>
      <c r="E201" s="7"/>
      <c r="F201" s="61">
        <f>F202</f>
        <v>14748</v>
      </c>
      <c r="G201" s="61">
        <f>G202</f>
        <v>0</v>
      </c>
    </row>
    <row r="202" spans="1:7" ht="75">
      <c r="A202" s="36" t="s">
        <v>507</v>
      </c>
      <c r="B202" s="7" t="s">
        <v>211</v>
      </c>
      <c r="C202" s="7" t="s">
        <v>214</v>
      </c>
      <c r="D202" s="7" t="s">
        <v>116</v>
      </c>
      <c r="E202" s="7" t="s">
        <v>477</v>
      </c>
      <c r="F202" s="61">
        <v>14748</v>
      </c>
      <c r="G202" s="61">
        <f>'Прил.8 Ведомств.'!H198</f>
        <v>0</v>
      </c>
    </row>
    <row r="203" spans="1:7" ht="90" customHeight="1">
      <c r="A203" s="36" t="s">
        <v>413</v>
      </c>
      <c r="B203" s="7" t="s">
        <v>211</v>
      </c>
      <c r="C203" s="7" t="s">
        <v>214</v>
      </c>
      <c r="D203" s="7" t="s">
        <v>117</v>
      </c>
      <c r="E203" s="7"/>
      <c r="F203" s="61">
        <f>F204</f>
        <v>10000</v>
      </c>
      <c r="G203" s="61">
        <f>G204</f>
        <v>0</v>
      </c>
    </row>
    <row r="204" spans="1:7" ht="75">
      <c r="A204" s="36" t="s">
        <v>507</v>
      </c>
      <c r="B204" s="7" t="s">
        <v>211</v>
      </c>
      <c r="C204" s="7" t="s">
        <v>214</v>
      </c>
      <c r="D204" s="7" t="s">
        <v>117</v>
      </c>
      <c r="E204" s="7" t="s">
        <v>477</v>
      </c>
      <c r="F204" s="61">
        <v>10000</v>
      </c>
      <c r="G204" s="61">
        <f>'Прил.8 Ведомств.'!H200</f>
        <v>0</v>
      </c>
    </row>
    <row r="205" spans="1:7" ht="75">
      <c r="A205" s="36" t="s">
        <v>218</v>
      </c>
      <c r="B205" s="7" t="s">
        <v>211</v>
      </c>
      <c r="C205" s="7" t="s">
        <v>214</v>
      </c>
      <c r="D205" s="7" t="s">
        <v>118</v>
      </c>
      <c r="E205" s="7"/>
      <c r="F205" s="61">
        <f>F206+F207</f>
        <v>1057</v>
      </c>
      <c r="G205" s="61">
        <f>G206+G207</f>
        <v>0</v>
      </c>
    </row>
    <row r="206" spans="1:7" ht="30">
      <c r="A206" s="36" t="s">
        <v>467</v>
      </c>
      <c r="B206" s="7" t="s">
        <v>211</v>
      </c>
      <c r="C206" s="7" t="s">
        <v>214</v>
      </c>
      <c r="D206" s="7" t="s">
        <v>118</v>
      </c>
      <c r="E206" s="7" t="s">
        <v>466</v>
      </c>
      <c r="F206" s="61">
        <f>957+25</f>
        <v>982</v>
      </c>
      <c r="G206" s="61">
        <f>'Прил.8 Ведомств.'!H202+'Прил.8 Ведомств.'!H441</f>
        <v>0</v>
      </c>
    </row>
    <row r="207" spans="1:7" ht="30">
      <c r="A207" s="36" t="s">
        <v>221</v>
      </c>
      <c r="B207" s="7" t="s">
        <v>211</v>
      </c>
      <c r="C207" s="7" t="s">
        <v>214</v>
      </c>
      <c r="D207" s="7" t="s">
        <v>118</v>
      </c>
      <c r="E207" s="7" t="s">
        <v>488</v>
      </c>
      <c r="F207" s="61">
        <v>75</v>
      </c>
      <c r="G207" s="61">
        <f>'Прил.8 Ведомств.'!H442</f>
        <v>0</v>
      </c>
    </row>
    <row r="208" spans="1:7" ht="43.5" customHeight="1">
      <c r="A208" s="36" t="s">
        <v>400</v>
      </c>
      <c r="B208" s="7" t="s">
        <v>211</v>
      </c>
      <c r="C208" s="7" t="s">
        <v>214</v>
      </c>
      <c r="D208" s="7" t="s">
        <v>350</v>
      </c>
      <c r="E208" s="7"/>
      <c r="F208" s="61">
        <f>F209</f>
        <v>1500</v>
      </c>
      <c r="G208" s="61">
        <f>G209</f>
        <v>0</v>
      </c>
    </row>
    <row r="209" spans="1:7" ht="45">
      <c r="A209" s="36" t="s">
        <v>558</v>
      </c>
      <c r="B209" s="7" t="s">
        <v>211</v>
      </c>
      <c r="C209" s="7" t="s">
        <v>214</v>
      </c>
      <c r="D209" s="7" t="s">
        <v>350</v>
      </c>
      <c r="E209" s="7" t="s">
        <v>503</v>
      </c>
      <c r="F209" s="61">
        <v>1500</v>
      </c>
      <c r="G209" s="61">
        <f>'Прил.8 Ведомств.'!H204</f>
        <v>0</v>
      </c>
    </row>
    <row r="210" spans="1:7" ht="15.75">
      <c r="A210" s="60" t="s">
        <v>10</v>
      </c>
      <c r="B210" s="7" t="s">
        <v>211</v>
      </c>
      <c r="C210" s="7" t="s">
        <v>195</v>
      </c>
      <c r="D210" s="7"/>
      <c r="E210" s="7"/>
      <c r="F210" s="61">
        <f>F211+F213</f>
        <v>104548.1</v>
      </c>
      <c r="G210" s="61">
        <f>G211+G213</f>
        <v>37744.299999999996</v>
      </c>
    </row>
    <row r="211" spans="1:7" ht="15">
      <c r="A211" s="36" t="s">
        <v>172</v>
      </c>
      <c r="B211" s="7" t="s">
        <v>211</v>
      </c>
      <c r="C211" s="7" t="s">
        <v>195</v>
      </c>
      <c r="D211" s="7" t="s">
        <v>109</v>
      </c>
      <c r="E211" s="7"/>
      <c r="F211" s="61">
        <f>F212</f>
        <v>2500</v>
      </c>
      <c r="G211" s="61">
        <f>G212</f>
        <v>1003.7</v>
      </c>
    </row>
    <row r="212" spans="1:7" ht="30">
      <c r="A212" s="36" t="s">
        <v>467</v>
      </c>
      <c r="B212" s="7" t="s">
        <v>211</v>
      </c>
      <c r="C212" s="7" t="s">
        <v>195</v>
      </c>
      <c r="D212" s="7" t="s">
        <v>109</v>
      </c>
      <c r="E212" s="7" t="s">
        <v>466</v>
      </c>
      <c r="F212" s="61">
        <v>2500</v>
      </c>
      <c r="G212" s="61">
        <f>'Прил.8 Ведомств.'!H207</f>
        <v>1003.7</v>
      </c>
    </row>
    <row r="213" spans="1:7" ht="15">
      <c r="A213" s="36" t="s">
        <v>173</v>
      </c>
      <c r="B213" s="7" t="s">
        <v>211</v>
      </c>
      <c r="C213" s="7" t="s">
        <v>195</v>
      </c>
      <c r="D213" s="7" t="s">
        <v>60</v>
      </c>
      <c r="E213" s="7"/>
      <c r="F213" s="61">
        <f>F214+F216+F223+F225</f>
        <v>102048.1</v>
      </c>
      <c r="G213" s="61">
        <f>G214+G216+G223+G225</f>
        <v>36740.6</v>
      </c>
    </row>
    <row r="214" spans="1:7" ht="15">
      <c r="A214" s="36" t="s">
        <v>174</v>
      </c>
      <c r="B214" s="7" t="s">
        <v>211</v>
      </c>
      <c r="C214" s="7" t="s">
        <v>195</v>
      </c>
      <c r="D214" s="7" t="s">
        <v>61</v>
      </c>
      <c r="E214" s="7"/>
      <c r="F214" s="61">
        <f>F215</f>
        <v>19000</v>
      </c>
      <c r="G214" s="61">
        <f>G215</f>
        <v>9128</v>
      </c>
    </row>
    <row r="215" spans="1:7" ht="30">
      <c r="A215" s="36" t="s">
        <v>467</v>
      </c>
      <c r="B215" s="7" t="s">
        <v>211</v>
      </c>
      <c r="C215" s="7" t="s">
        <v>195</v>
      </c>
      <c r="D215" s="7" t="s">
        <v>61</v>
      </c>
      <c r="E215" s="7" t="s">
        <v>466</v>
      </c>
      <c r="F215" s="61">
        <v>19000</v>
      </c>
      <c r="G215" s="61">
        <f>'Прил.8 Ведомств.'!H212</f>
        <v>9128</v>
      </c>
    </row>
    <row r="216" spans="1:7" ht="15">
      <c r="A216" s="36" t="s">
        <v>111</v>
      </c>
      <c r="B216" s="7" t="s">
        <v>211</v>
      </c>
      <c r="C216" s="7" t="s">
        <v>195</v>
      </c>
      <c r="D216" s="7" t="s">
        <v>66</v>
      </c>
      <c r="E216" s="7"/>
      <c r="F216" s="61">
        <f>F217+F219+F221</f>
        <v>14031.7</v>
      </c>
      <c r="G216" s="61">
        <f>G217+G219+G221</f>
        <v>4402.7</v>
      </c>
    </row>
    <row r="217" spans="1:7" ht="45">
      <c r="A217" s="36" t="s">
        <v>461</v>
      </c>
      <c r="B217" s="7" t="s">
        <v>211</v>
      </c>
      <c r="C217" s="7" t="s">
        <v>195</v>
      </c>
      <c r="D217" s="7" t="s">
        <v>165</v>
      </c>
      <c r="E217" s="7"/>
      <c r="F217" s="61">
        <f>F218</f>
        <v>8660</v>
      </c>
      <c r="G217" s="61">
        <f>G218</f>
        <v>4117</v>
      </c>
    </row>
    <row r="218" spans="1:7" ht="75">
      <c r="A218" s="36" t="s">
        <v>547</v>
      </c>
      <c r="B218" s="7" t="s">
        <v>211</v>
      </c>
      <c r="C218" s="7" t="s">
        <v>195</v>
      </c>
      <c r="D218" s="7" t="s">
        <v>165</v>
      </c>
      <c r="E218" s="7" t="s">
        <v>496</v>
      </c>
      <c r="F218" s="61">
        <f>8360+300</f>
        <v>8660</v>
      </c>
      <c r="G218" s="61">
        <f>'Прил.8 Ведомств.'!H215</f>
        <v>4117</v>
      </c>
    </row>
    <row r="219" spans="1:7" ht="75" outlineLevel="1">
      <c r="A219" s="36" t="s">
        <v>562</v>
      </c>
      <c r="B219" s="7" t="s">
        <v>211</v>
      </c>
      <c r="C219" s="7" t="s">
        <v>195</v>
      </c>
      <c r="D219" s="7" t="s">
        <v>219</v>
      </c>
      <c r="E219" s="7"/>
      <c r="F219" s="61">
        <f>F220</f>
        <v>0</v>
      </c>
      <c r="G219" s="61">
        <f>G220</f>
        <v>0</v>
      </c>
    </row>
    <row r="220" spans="1:7" ht="75" outlineLevel="1">
      <c r="A220" s="36" t="s">
        <v>547</v>
      </c>
      <c r="B220" s="7" t="s">
        <v>211</v>
      </c>
      <c r="C220" s="7" t="s">
        <v>195</v>
      </c>
      <c r="D220" s="7" t="s">
        <v>219</v>
      </c>
      <c r="E220" s="7" t="s">
        <v>496</v>
      </c>
      <c r="F220" s="61">
        <f>300-300</f>
        <v>0</v>
      </c>
      <c r="G220" s="61">
        <f>300-300</f>
        <v>0</v>
      </c>
    </row>
    <row r="221" spans="1:7" ht="15">
      <c r="A221" s="36" t="s">
        <v>262</v>
      </c>
      <c r="B221" s="7" t="s">
        <v>211</v>
      </c>
      <c r="C221" s="7" t="s">
        <v>195</v>
      </c>
      <c r="D221" s="7" t="s">
        <v>263</v>
      </c>
      <c r="E221" s="7"/>
      <c r="F221" s="61">
        <f>F222</f>
        <v>5371.7</v>
      </c>
      <c r="G221" s="61">
        <f>G222</f>
        <v>285.7</v>
      </c>
    </row>
    <row r="222" spans="1:7" ht="30">
      <c r="A222" s="36" t="s">
        <v>467</v>
      </c>
      <c r="B222" s="7" t="s">
        <v>211</v>
      </c>
      <c r="C222" s="7" t="s">
        <v>195</v>
      </c>
      <c r="D222" s="7" t="s">
        <v>263</v>
      </c>
      <c r="E222" s="7" t="s">
        <v>466</v>
      </c>
      <c r="F222" s="61">
        <f>6321.7-950</f>
        <v>5371.7</v>
      </c>
      <c r="G222" s="61">
        <f>'Прил.8 Ведомств.'!H219</f>
        <v>285.7</v>
      </c>
    </row>
    <row r="223" spans="1:7" ht="30">
      <c r="A223" s="36" t="s">
        <v>67</v>
      </c>
      <c r="B223" s="7" t="s">
        <v>211</v>
      </c>
      <c r="C223" s="7" t="s">
        <v>195</v>
      </c>
      <c r="D223" s="7" t="s">
        <v>68</v>
      </c>
      <c r="E223" s="7"/>
      <c r="F223" s="61">
        <f>F224</f>
        <v>1200</v>
      </c>
      <c r="G223" s="61">
        <f>G224</f>
        <v>202.9</v>
      </c>
    </row>
    <row r="224" spans="1:7" ht="30">
      <c r="A224" s="36" t="s">
        <v>467</v>
      </c>
      <c r="B224" s="7" t="s">
        <v>211</v>
      </c>
      <c r="C224" s="7" t="s">
        <v>195</v>
      </c>
      <c r="D224" s="7" t="s">
        <v>68</v>
      </c>
      <c r="E224" s="7" t="s">
        <v>466</v>
      </c>
      <c r="F224" s="61">
        <v>1200</v>
      </c>
      <c r="G224" s="61">
        <f>'Прил.8 Ведомств.'!H221</f>
        <v>202.9</v>
      </c>
    </row>
    <row r="225" spans="1:7" ht="45">
      <c r="A225" s="36" t="s">
        <v>69</v>
      </c>
      <c r="B225" s="7" t="s">
        <v>211</v>
      </c>
      <c r="C225" s="7" t="s">
        <v>195</v>
      </c>
      <c r="D225" s="7" t="s">
        <v>70</v>
      </c>
      <c r="E225" s="7"/>
      <c r="F225" s="61">
        <f>F226+F228+F230+F232+F234+F236</f>
        <v>67816.40000000001</v>
      </c>
      <c r="G225" s="61">
        <f>G226+G228+G230+G232+G234+G236</f>
        <v>23007</v>
      </c>
    </row>
    <row r="226" spans="1:7" ht="30">
      <c r="A226" s="36" t="s">
        <v>563</v>
      </c>
      <c r="B226" s="7" t="s">
        <v>211</v>
      </c>
      <c r="C226" s="7" t="s">
        <v>195</v>
      </c>
      <c r="D226" s="7" t="s">
        <v>171</v>
      </c>
      <c r="E226" s="7"/>
      <c r="F226" s="61">
        <f>F227</f>
        <v>150</v>
      </c>
      <c r="G226" s="61">
        <f>G227</f>
        <v>40.8</v>
      </c>
    </row>
    <row r="227" spans="1:7" ht="30">
      <c r="A227" s="36" t="s">
        <v>467</v>
      </c>
      <c r="B227" s="7" t="s">
        <v>211</v>
      </c>
      <c r="C227" s="7" t="s">
        <v>195</v>
      </c>
      <c r="D227" s="7" t="s">
        <v>171</v>
      </c>
      <c r="E227" s="7" t="s">
        <v>466</v>
      </c>
      <c r="F227" s="61">
        <v>150</v>
      </c>
      <c r="G227" s="61">
        <f>'Прил.8 Ведомств.'!H224</f>
        <v>40.8</v>
      </c>
    </row>
    <row r="228" spans="1:7" ht="15">
      <c r="A228" s="36" t="s">
        <v>564</v>
      </c>
      <c r="B228" s="7" t="s">
        <v>211</v>
      </c>
      <c r="C228" s="7" t="s">
        <v>195</v>
      </c>
      <c r="D228" s="7" t="s">
        <v>220</v>
      </c>
      <c r="E228" s="7"/>
      <c r="F228" s="61">
        <f>F229</f>
        <v>600</v>
      </c>
      <c r="G228" s="61">
        <f>G229</f>
        <v>90.1</v>
      </c>
    </row>
    <row r="229" spans="1:7" ht="30">
      <c r="A229" s="36" t="s">
        <v>467</v>
      </c>
      <c r="B229" s="7" t="s">
        <v>211</v>
      </c>
      <c r="C229" s="7" t="s">
        <v>195</v>
      </c>
      <c r="D229" s="7" t="s">
        <v>220</v>
      </c>
      <c r="E229" s="7" t="s">
        <v>466</v>
      </c>
      <c r="F229" s="61">
        <v>600</v>
      </c>
      <c r="G229" s="61">
        <f>'Прил.8 Ведомств.'!H226</f>
        <v>90.1</v>
      </c>
    </row>
    <row r="230" spans="1:7" ht="30">
      <c r="A230" s="36" t="s">
        <v>565</v>
      </c>
      <c r="B230" s="7" t="s">
        <v>211</v>
      </c>
      <c r="C230" s="7" t="s">
        <v>195</v>
      </c>
      <c r="D230" s="7" t="s">
        <v>163</v>
      </c>
      <c r="E230" s="7"/>
      <c r="F230" s="61">
        <f>F231</f>
        <v>23960</v>
      </c>
      <c r="G230" s="61">
        <f>G231</f>
        <v>1005.1</v>
      </c>
    </row>
    <row r="231" spans="1:7" ht="30">
      <c r="A231" s="36" t="s">
        <v>467</v>
      </c>
      <c r="B231" s="7" t="s">
        <v>211</v>
      </c>
      <c r="C231" s="7" t="s">
        <v>195</v>
      </c>
      <c r="D231" s="7" t="s">
        <v>163</v>
      </c>
      <c r="E231" s="7" t="s">
        <v>466</v>
      </c>
      <c r="F231" s="61">
        <f>20060+4250-350</f>
        <v>23960</v>
      </c>
      <c r="G231" s="61">
        <f>'Прил.8 Ведомств.'!H228</f>
        <v>1005.1</v>
      </c>
    </row>
    <row r="232" spans="1:7" ht="45">
      <c r="A232" s="36" t="s">
        <v>463</v>
      </c>
      <c r="B232" s="7" t="s">
        <v>211</v>
      </c>
      <c r="C232" s="7" t="s">
        <v>195</v>
      </c>
      <c r="D232" s="7" t="s">
        <v>166</v>
      </c>
      <c r="E232" s="7"/>
      <c r="F232" s="61">
        <f>F233</f>
        <v>18150</v>
      </c>
      <c r="G232" s="61">
        <f>G233</f>
        <v>9038.2</v>
      </c>
    </row>
    <row r="233" spans="1:7" ht="75">
      <c r="A233" s="36" t="s">
        <v>547</v>
      </c>
      <c r="B233" s="7" t="s">
        <v>211</v>
      </c>
      <c r="C233" s="7" t="s">
        <v>195</v>
      </c>
      <c r="D233" s="7" t="s">
        <v>166</v>
      </c>
      <c r="E233" s="7" t="s">
        <v>496</v>
      </c>
      <c r="F233" s="61">
        <v>18150</v>
      </c>
      <c r="G233" s="61">
        <f>'Прил.8 Ведомств.'!H230</f>
        <v>9038.2</v>
      </c>
    </row>
    <row r="234" spans="1:7" ht="60">
      <c r="A234" s="36" t="s">
        <v>464</v>
      </c>
      <c r="B234" s="7" t="s">
        <v>211</v>
      </c>
      <c r="C234" s="7" t="s">
        <v>195</v>
      </c>
      <c r="D234" s="7" t="s">
        <v>167</v>
      </c>
      <c r="E234" s="7"/>
      <c r="F234" s="61">
        <f>F235</f>
        <v>24654.3</v>
      </c>
      <c r="G234" s="61">
        <f>G235</f>
        <v>12530.7</v>
      </c>
    </row>
    <row r="235" spans="1:7" ht="75">
      <c r="A235" s="36" t="s">
        <v>547</v>
      </c>
      <c r="B235" s="7" t="s">
        <v>211</v>
      </c>
      <c r="C235" s="7" t="s">
        <v>195</v>
      </c>
      <c r="D235" s="7" t="s">
        <v>167</v>
      </c>
      <c r="E235" s="7" t="s">
        <v>496</v>
      </c>
      <c r="F235" s="61">
        <v>24654.3</v>
      </c>
      <c r="G235" s="61">
        <f>'Прил.8 Ведомств.'!H232</f>
        <v>12530.7</v>
      </c>
    </row>
    <row r="236" spans="1:7" ht="75">
      <c r="A236" s="36" t="s">
        <v>465</v>
      </c>
      <c r="B236" s="7" t="s">
        <v>211</v>
      </c>
      <c r="C236" s="7" t="s">
        <v>195</v>
      </c>
      <c r="D236" s="7" t="s">
        <v>332</v>
      </c>
      <c r="E236" s="7"/>
      <c r="F236" s="61">
        <f>F237</f>
        <v>302.1</v>
      </c>
      <c r="G236" s="61">
        <f>G237</f>
        <v>302.1</v>
      </c>
    </row>
    <row r="237" spans="1:7" ht="75">
      <c r="A237" s="36" t="s">
        <v>547</v>
      </c>
      <c r="B237" s="7" t="s">
        <v>211</v>
      </c>
      <c r="C237" s="7" t="s">
        <v>195</v>
      </c>
      <c r="D237" s="7" t="s">
        <v>332</v>
      </c>
      <c r="E237" s="7" t="s">
        <v>496</v>
      </c>
      <c r="F237" s="61">
        <v>302.1</v>
      </c>
      <c r="G237" s="61">
        <f>'Прил.8 Ведомств.'!H236</f>
        <v>302.1</v>
      </c>
    </row>
    <row r="238" spans="1:8" ht="15.75">
      <c r="A238" s="57" t="s">
        <v>6</v>
      </c>
      <c r="B238" s="6" t="s">
        <v>222</v>
      </c>
      <c r="C238" s="6" t="s">
        <v>194</v>
      </c>
      <c r="D238" s="6"/>
      <c r="E238" s="6"/>
      <c r="F238" s="59">
        <f>F239+F245</f>
        <v>14935.1</v>
      </c>
      <c r="G238" s="59">
        <f>G239+G245</f>
        <v>6985.6</v>
      </c>
      <c r="H238" s="78"/>
    </row>
    <row r="239" spans="1:8" ht="15.75">
      <c r="A239" s="60" t="s">
        <v>313</v>
      </c>
      <c r="B239" s="10" t="s">
        <v>222</v>
      </c>
      <c r="C239" s="10" t="s">
        <v>214</v>
      </c>
      <c r="D239" s="10"/>
      <c r="E239" s="10"/>
      <c r="F239" s="61">
        <f aca="true" t="shared" si="2" ref="F239:G241">F240</f>
        <v>9110.1</v>
      </c>
      <c r="G239" s="61">
        <f t="shared" si="2"/>
        <v>4010.1</v>
      </c>
      <c r="H239" s="78"/>
    </row>
    <row r="240" spans="1:8" ht="30">
      <c r="A240" s="36" t="s">
        <v>566</v>
      </c>
      <c r="B240" s="10" t="s">
        <v>222</v>
      </c>
      <c r="C240" s="10" t="s">
        <v>214</v>
      </c>
      <c r="D240" s="10" t="s">
        <v>314</v>
      </c>
      <c r="E240" s="10"/>
      <c r="F240" s="61">
        <f t="shared" si="2"/>
        <v>9110.1</v>
      </c>
      <c r="G240" s="61">
        <f t="shared" si="2"/>
        <v>4010.1</v>
      </c>
      <c r="H240" s="78"/>
    </row>
    <row r="241" spans="1:8" ht="30">
      <c r="A241" s="36" t="s">
        <v>20</v>
      </c>
      <c r="B241" s="10" t="s">
        <v>222</v>
      </c>
      <c r="C241" s="10" t="s">
        <v>214</v>
      </c>
      <c r="D241" s="10" t="s">
        <v>316</v>
      </c>
      <c r="E241" s="10"/>
      <c r="F241" s="61">
        <f t="shared" si="2"/>
        <v>9110.1</v>
      </c>
      <c r="G241" s="61">
        <f t="shared" si="2"/>
        <v>4010.1</v>
      </c>
      <c r="H241" s="78"/>
    </row>
    <row r="242" spans="1:8" ht="30">
      <c r="A242" s="36" t="s">
        <v>567</v>
      </c>
      <c r="B242" s="10" t="s">
        <v>222</v>
      </c>
      <c r="C242" s="10" t="s">
        <v>214</v>
      </c>
      <c r="D242" s="10" t="s">
        <v>316</v>
      </c>
      <c r="E242" s="10" t="s">
        <v>490</v>
      </c>
      <c r="F242" s="61">
        <f>F243+F244</f>
        <v>9110.1</v>
      </c>
      <c r="G242" s="61">
        <f>G243+G244</f>
        <v>4010.1</v>
      </c>
      <c r="H242" s="78"/>
    </row>
    <row r="243" spans="1:8" ht="62.25" customHeight="1">
      <c r="A243" s="36" t="s">
        <v>568</v>
      </c>
      <c r="B243" s="10" t="s">
        <v>222</v>
      </c>
      <c r="C243" s="10" t="s">
        <v>214</v>
      </c>
      <c r="D243" s="10" t="s">
        <v>440</v>
      </c>
      <c r="E243" s="10" t="s">
        <v>491</v>
      </c>
      <c r="F243" s="61">
        <v>8910.1</v>
      </c>
      <c r="G243" s="61">
        <f>'Прил.8 Ведомств.'!H391</f>
        <v>4010.1</v>
      </c>
      <c r="H243" s="78"/>
    </row>
    <row r="244" spans="1:8" ht="30">
      <c r="A244" s="36" t="s">
        <v>489</v>
      </c>
      <c r="B244" s="10" t="s">
        <v>222</v>
      </c>
      <c r="C244" s="10" t="s">
        <v>214</v>
      </c>
      <c r="D244" s="10" t="s">
        <v>317</v>
      </c>
      <c r="E244" s="10" t="s">
        <v>488</v>
      </c>
      <c r="F244" s="61">
        <v>200</v>
      </c>
      <c r="G244" s="61">
        <f>'Прил.8 Ведомств.'!H392</f>
        <v>0</v>
      </c>
      <c r="H244" s="78"/>
    </row>
    <row r="245" spans="1:8" ht="30">
      <c r="A245" s="36" t="s">
        <v>126</v>
      </c>
      <c r="B245" s="10" t="s">
        <v>222</v>
      </c>
      <c r="C245" s="7" t="s">
        <v>222</v>
      </c>
      <c r="D245" s="7"/>
      <c r="E245" s="7"/>
      <c r="F245" s="61">
        <f>F246+F253</f>
        <v>5825</v>
      </c>
      <c r="G245" s="61">
        <f>G246+G253</f>
        <v>2975.5</v>
      </c>
      <c r="H245" s="77"/>
    </row>
    <row r="246" spans="1:7" ht="30">
      <c r="A246" s="36" t="s">
        <v>71</v>
      </c>
      <c r="B246" s="10" t="s">
        <v>222</v>
      </c>
      <c r="C246" s="7" t="s">
        <v>222</v>
      </c>
      <c r="D246" s="7" t="s">
        <v>72</v>
      </c>
      <c r="E246" s="7"/>
      <c r="F246" s="61">
        <f>F247+F251</f>
        <v>5325</v>
      </c>
      <c r="G246" s="61">
        <f>G247+G251</f>
        <v>2720.3</v>
      </c>
    </row>
    <row r="247" spans="1:7" ht="30">
      <c r="A247" s="36" t="s">
        <v>20</v>
      </c>
      <c r="B247" s="10" t="s">
        <v>222</v>
      </c>
      <c r="C247" s="7" t="s">
        <v>222</v>
      </c>
      <c r="D247" s="7" t="s">
        <v>320</v>
      </c>
      <c r="E247" s="7"/>
      <c r="F247" s="61">
        <f>F248</f>
        <v>3825</v>
      </c>
      <c r="G247" s="61">
        <f>G248</f>
        <v>1839.6</v>
      </c>
    </row>
    <row r="248" spans="1:7" ht="30">
      <c r="A248" s="36" t="s">
        <v>221</v>
      </c>
      <c r="B248" s="10" t="s">
        <v>222</v>
      </c>
      <c r="C248" s="7" t="s">
        <v>222</v>
      </c>
      <c r="D248" s="7" t="s">
        <v>320</v>
      </c>
      <c r="E248" s="7" t="s">
        <v>490</v>
      </c>
      <c r="F248" s="61">
        <f>F249+F250</f>
        <v>3825</v>
      </c>
      <c r="G248" s="61">
        <f>G249+G250</f>
        <v>1839.6</v>
      </c>
    </row>
    <row r="249" spans="1:7" ht="59.25" customHeight="1">
      <c r="A249" s="36" t="s">
        <v>568</v>
      </c>
      <c r="B249" s="10" t="s">
        <v>222</v>
      </c>
      <c r="C249" s="7" t="s">
        <v>222</v>
      </c>
      <c r="D249" s="7" t="s">
        <v>321</v>
      </c>
      <c r="E249" s="7" t="s">
        <v>491</v>
      </c>
      <c r="F249" s="61">
        <v>3575</v>
      </c>
      <c r="G249" s="61">
        <f>'Прил.8 Ведомств.'!H397</f>
        <v>1773</v>
      </c>
    </row>
    <row r="250" spans="1:7" ht="30">
      <c r="A250" s="36" t="s">
        <v>489</v>
      </c>
      <c r="B250" s="10" t="s">
        <v>222</v>
      </c>
      <c r="C250" s="7" t="s">
        <v>222</v>
      </c>
      <c r="D250" s="7" t="s">
        <v>322</v>
      </c>
      <c r="E250" s="7" t="s">
        <v>488</v>
      </c>
      <c r="F250" s="61">
        <v>250</v>
      </c>
      <c r="G250" s="61">
        <f>'Прил.8 Ведомств.'!H398</f>
        <v>66.6</v>
      </c>
    </row>
    <row r="251" spans="1:7" ht="30">
      <c r="A251" s="36" t="s">
        <v>265</v>
      </c>
      <c r="B251" s="10" t="s">
        <v>222</v>
      </c>
      <c r="C251" s="7" t="s">
        <v>222</v>
      </c>
      <c r="D251" s="7" t="s">
        <v>73</v>
      </c>
      <c r="E251" s="7"/>
      <c r="F251" s="61">
        <f>F252</f>
        <v>1500</v>
      </c>
      <c r="G251" s="61">
        <f>G252</f>
        <v>880.7</v>
      </c>
    </row>
    <row r="252" spans="1:7" ht="30">
      <c r="A252" s="36" t="s">
        <v>467</v>
      </c>
      <c r="B252" s="10" t="s">
        <v>222</v>
      </c>
      <c r="C252" s="7" t="s">
        <v>222</v>
      </c>
      <c r="D252" s="7" t="s">
        <v>73</v>
      </c>
      <c r="E252" s="7" t="s">
        <v>466</v>
      </c>
      <c r="F252" s="61">
        <v>1500</v>
      </c>
      <c r="G252" s="61">
        <f>'Прил.8 Ведомств.'!H241</f>
        <v>880.7</v>
      </c>
    </row>
    <row r="253" spans="1:7" ht="45">
      <c r="A253" s="36" t="s">
        <v>522</v>
      </c>
      <c r="B253" s="10" t="s">
        <v>222</v>
      </c>
      <c r="C253" s="7" t="s">
        <v>222</v>
      </c>
      <c r="D253" s="7" t="s">
        <v>521</v>
      </c>
      <c r="E253" s="7"/>
      <c r="F253" s="61">
        <f>F254</f>
        <v>500</v>
      </c>
      <c r="G253" s="61">
        <f>G254</f>
        <v>255.2</v>
      </c>
    </row>
    <row r="254" spans="1:7" ht="30">
      <c r="A254" s="63" t="s">
        <v>506</v>
      </c>
      <c r="B254" s="10" t="s">
        <v>222</v>
      </c>
      <c r="C254" s="7" t="s">
        <v>222</v>
      </c>
      <c r="D254" s="7" t="s">
        <v>521</v>
      </c>
      <c r="E254" s="7" t="s">
        <v>505</v>
      </c>
      <c r="F254" s="61">
        <v>500</v>
      </c>
      <c r="G254" s="61">
        <f>'Прил.8 Ведомств.'!H243</f>
        <v>255.2</v>
      </c>
    </row>
    <row r="255" spans="1:7" ht="15.75">
      <c r="A255" s="57" t="s">
        <v>133</v>
      </c>
      <c r="B255" s="6" t="s">
        <v>224</v>
      </c>
      <c r="C255" s="6" t="s">
        <v>194</v>
      </c>
      <c r="D255" s="6"/>
      <c r="E255" s="6"/>
      <c r="F255" s="59">
        <f>F256+F316+F325</f>
        <v>213274.8</v>
      </c>
      <c r="G255" s="59">
        <f>G256+G316+G325</f>
        <v>45958.8</v>
      </c>
    </row>
    <row r="256" spans="1:7" ht="15.75">
      <c r="A256" s="60" t="s">
        <v>127</v>
      </c>
      <c r="B256" s="7" t="s">
        <v>224</v>
      </c>
      <c r="C256" s="7" t="s">
        <v>193</v>
      </c>
      <c r="D256" s="7"/>
      <c r="E256" s="7"/>
      <c r="F256" s="61">
        <f>F257+F276+F281+F284+F308+F313</f>
        <v>207146</v>
      </c>
      <c r="G256" s="61">
        <f>G257+G276+G281+G284+G308+G313</f>
        <v>42511.3</v>
      </c>
    </row>
    <row r="257" spans="1:7" ht="45">
      <c r="A257" s="36" t="s">
        <v>175</v>
      </c>
      <c r="B257" s="7" t="s">
        <v>224</v>
      </c>
      <c r="C257" s="7" t="s">
        <v>193</v>
      </c>
      <c r="D257" s="7" t="s">
        <v>74</v>
      </c>
      <c r="E257" s="7"/>
      <c r="F257" s="61">
        <f>F258</f>
        <v>117312.6</v>
      </c>
      <c r="G257" s="61">
        <f>G258</f>
        <v>25923.5</v>
      </c>
    </row>
    <row r="258" spans="1:7" ht="30">
      <c r="A258" s="36" t="s">
        <v>76</v>
      </c>
      <c r="B258" s="7" t="s">
        <v>224</v>
      </c>
      <c r="C258" s="7" t="s">
        <v>193</v>
      </c>
      <c r="D258" s="7" t="s">
        <v>75</v>
      </c>
      <c r="E258" s="7"/>
      <c r="F258" s="61">
        <f>F259+F263+F267+F271</f>
        <v>117312.6</v>
      </c>
      <c r="G258" s="61">
        <f>G259+G263+G267+G271</f>
        <v>25923.5</v>
      </c>
    </row>
    <row r="259" spans="1:7" ht="45">
      <c r="A259" s="36" t="s">
        <v>326</v>
      </c>
      <c r="B259" s="7" t="s">
        <v>224</v>
      </c>
      <c r="C259" s="7" t="s">
        <v>193</v>
      </c>
      <c r="D259" s="7" t="s">
        <v>225</v>
      </c>
      <c r="E259" s="7"/>
      <c r="F259" s="61">
        <f>F260</f>
        <v>78720</v>
      </c>
      <c r="G259" s="61">
        <f>G260</f>
        <v>11036.7</v>
      </c>
    </row>
    <row r="260" spans="1:7" ht="30">
      <c r="A260" s="36" t="s">
        <v>221</v>
      </c>
      <c r="B260" s="7" t="s">
        <v>224</v>
      </c>
      <c r="C260" s="7" t="s">
        <v>193</v>
      </c>
      <c r="D260" s="7" t="s">
        <v>225</v>
      </c>
      <c r="E260" s="7" t="s">
        <v>490</v>
      </c>
      <c r="F260" s="61">
        <f>F261+F262</f>
        <v>78720</v>
      </c>
      <c r="G260" s="61">
        <f>G261+G262</f>
        <v>11036.7</v>
      </c>
    </row>
    <row r="261" spans="1:7" ht="62.25" customHeight="1">
      <c r="A261" s="36" t="s">
        <v>568</v>
      </c>
      <c r="B261" s="7" t="s">
        <v>224</v>
      </c>
      <c r="C261" s="7" t="s">
        <v>193</v>
      </c>
      <c r="D261" s="7" t="s">
        <v>226</v>
      </c>
      <c r="E261" s="7" t="s">
        <v>491</v>
      </c>
      <c r="F261" s="61">
        <v>19985.6</v>
      </c>
      <c r="G261" s="61">
        <f>'Прил.8 Ведомств.'!H452</f>
        <v>10751.2</v>
      </c>
    </row>
    <row r="262" spans="1:7" ht="30">
      <c r="A262" s="36" t="s">
        <v>489</v>
      </c>
      <c r="B262" s="7" t="s">
        <v>224</v>
      </c>
      <c r="C262" s="7" t="s">
        <v>193</v>
      </c>
      <c r="D262" s="7" t="s">
        <v>227</v>
      </c>
      <c r="E262" s="7" t="s">
        <v>488</v>
      </c>
      <c r="F262" s="61">
        <v>58734.4</v>
      </c>
      <c r="G262" s="61">
        <f>'Прил.8 Ведомств.'!H453</f>
        <v>285.5</v>
      </c>
    </row>
    <row r="263" spans="1:7" ht="30">
      <c r="A263" s="36" t="s">
        <v>327</v>
      </c>
      <c r="B263" s="7" t="s">
        <v>224</v>
      </c>
      <c r="C263" s="7" t="s">
        <v>193</v>
      </c>
      <c r="D263" s="7" t="s">
        <v>228</v>
      </c>
      <c r="E263" s="7"/>
      <c r="F263" s="61">
        <f>F264</f>
        <v>29676</v>
      </c>
      <c r="G263" s="61">
        <f>G264</f>
        <v>10359.6</v>
      </c>
    </row>
    <row r="264" spans="1:7" ht="30">
      <c r="A264" s="36" t="s">
        <v>221</v>
      </c>
      <c r="B264" s="7" t="s">
        <v>224</v>
      </c>
      <c r="C264" s="7" t="s">
        <v>193</v>
      </c>
      <c r="D264" s="7" t="s">
        <v>228</v>
      </c>
      <c r="E264" s="7" t="s">
        <v>490</v>
      </c>
      <c r="F264" s="61">
        <f>F265+F266</f>
        <v>29676</v>
      </c>
      <c r="G264" s="61">
        <f>G265+G266</f>
        <v>10359.6</v>
      </c>
    </row>
    <row r="265" spans="1:7" ht="60" customHeight="1">
      <c r="A265" s="36" t="s">
        <v>568</v>
      </c>
      <c r="B265" s="7" t="s">
        <v>224</v>
      </c>
      <c r="C265" s="7" t="s">
        <v>193</v>
      </c>
      <c r="D265" s="7" t="s">
        <v>229</v>
      </c>
      <c r="E265" s="7" t="s">
        <v>491</v>
      </c>
      <c r="F265" s="61">
        <v>18781</v>
      </c>
      <c r="G265" s="61">
        <f>'Прил.8 Ведомств.'!H456</f>
        <v>10104.6</v>
      </c>
    </row>
    <row r="266" spans="1:7" ht="30">
      <c r="A266" s="36" t="s">
        <v>489</v>
      </c>
      <c r="B266" s="7" t="s">
        <v>224</v>
      </c>
      <c r="C266" s="7" t="s">
        <v>193</v>
      </c>
      <c r="D266" s="7" t="s">
        <v>366</v>
      </c>
      <c r="E266" s="7" t="s">
        <v>488</v>
      </c>
      <c r="F266" s="61">
        <v>10895</v>
      </c>
      <c r="G266" s="61">
        <f>'Прил.8 Ведомств.'!H457</f>
        <v>255</v>
      </c>
    </row>
    <row r="267" spans="1:7" ht="30">
      <c r="A267" s="36" t="s">
        <v>232</v>
      </c>
      <c r="B267" s="7" t="s">
        <v>224</v>
      </c>
      <c r="C267" s="7" t="s">
        <v>193</v>
      </c>
      <c r="D267" s="7" t="s">
        <v>230</v>
      </c>
      <c r="E267" s="7"/>
      <c r="F267" s="61">
        <f>F268</f>
        <v>5875.1</v>
      </c>
      <c r="G267" s="61">
        <f>G268</f>
        <v>3005.1</v>
      </c>
    </row>
    <row r="268" spans="1:7" ht="30">
      <c r="A268" s="36" t="s">
        <v>221</v>
      </c>
      <c r="B268" s="7" t="s">
        <v>224</v>
      </c>
      <c r="C268" s="7" t="s">
        <v>193</v>
      </c>
      <c r="D268" s="7" t="s">
        <v>230</v>
      </c>
      <c r="E268" s="7" t="s">
        <v>490</v>
      </c>
      <c r="F268" s="61">
        <f>F269+F270</f>
        <v>5875.1</v>
      </c>
      <c r="G268" s="61">
        <f>G269+G270</f>
        <v>3005.1</v>
      </c>
    </row>
    <row r="269" spans="1:7" ht="62.25" customHeight="1">
      <c r="A269" s="36" t="s">
        <v>568</v>
      </c>
      <c r="B269" s="7" t="s">
        <v>224</v>
      </c>
      <c r="C269" s="7" t="s">
        <v>193</v>
      </c>
      <c r="D269" s="7" t="s">
        <v>231</v>
      </c>
      <c r="E269" s="7" t="s">
        <v>491</v>
      </c>
      <c r="F269" s="61">
        <v>5775.1</v>
      </c>
      <c r="G269" s="61">
        <f>'Прил.8 Ведомств.'!H460</f>
        <v>2963.2</v>
      </c>
    </row>
    <row r="270" spans="1:7" ht="30">
      <c r="A270" s="36" t="s">
        <v>489</v>
      </c>
      <c r="B270" s="7" t="s">
        <v>224</v>
      </c>
      <c r="C270" s="7" t="s">
        <v>193</v>
      </c>
      <c r="D270" s="7" t="s">
        <v>523</v>
      </c>
      <c r="E270" s="7" t="s">
        <v>488</v>
      </c>
      <c r="F270" s="61">
        <v>100</v>
      </c>
      <c r="G270" s="61">
        <f>'Прил.8 Ведомств.'!H461</f>
        <v>41.9</v>
      </c>
    </row>
    <row r="271" spans="1:7" ht="45">
      <c r="A271" s="36" t="s">
        <v>328</v>
      </c>
      <c r="B271" s="7" t="s">
        <v>224</v>
      </c>
      <c r="C271" s="7" t="s">
        <v>193</v>
      </c>
      <c r="D271" s="7" t="s">
        <v>233</v>
      </c>
      <c r="E271" s="7"/>
      <c r="F271" s="61">
        <f>F272</f>
        <v>3041.5</v>
      </c>
      <c r="G271" s="61">
        <f>G272</f>
        <v>1522.1</v>
      </c>
    </row>
    <row r="272" spans="1:7" ht="30">
      <c r="A272" s="36" t="s">
        <v>221</v>
      </c>
      <c r="B272" s="7" t="s">
        <v>224</v>
      </c>
      <c r="C272" s="7" t="s">
        <v>193</v>
      </c>
      <c r="D272" s="7" t="s">
        <v>233</v>
      </c>
      <c r="E272" s="7" t="s">
        <v>490</v>
      </c>
      <c r="F272" s="61">
        <f>F273</f>
        <v>3041.5</v>
      </c>
      <c r="G272" s="61">
        <f>G273</f>
        <v>1522.1</v>
      </c>
    </row>
    <row r="273" spans="1:7" ht="59.25" customHeight="1">
      <c r="A273" s="36" t="s">
        <v>568</v>
      </c>
      <c r="B273" s="7" t="s">
        <v>224</v>
      </c>
      <c r="C273" s="7" t="s">
        <v>193</v>
      </c>
      <c r="D273" s="7" t="s">
        <v>234</v>
      </c>
      <c r="E273" s="7" t="s">
        <v>491</v>
      </c>
      <c r="F273" s="61">
        <v>3041.5</v>
      </c>
      <c r="G273" s="61">
        <f>'Прил.8 Ведомств.'!H464</f>
        <v>1522.1</v>
      </c>
    </row>
    <row r="274" spans="1:7" ht="15">
      <c r="A274" s="36" t="s">
        <v>435</v>
      </c>
      <c r="B274" s="7" t="s">
        <v>224</v>
      </c>
      <c r="C274" s="7" t="s">
        <v>193</v>
      </c>
      <c r="D274" s="7" t="s">
        <v>436</v>
      </c>
      <c r="E274" s="7"/>
      <c r="F274" s="61">
        <f>F275</f>
        <v>5193.4</v>
      </c>
      <c r="G274" s="61">
        <f>G275</f>
        <v>2358.4</v>
      </c>
    </row>
    <row r="275" spans="1:7" ht="30">
      <c r="A275" s="36" t="s">
        <v>329</v>
      </c>
      <c r="B275" s="7" t="s">
        <v>224</v>
      </c>
      <c r="C275" s="7" t="s">
        <v>193</v>
      </c>
      <c r="D275" s="7" t="s">
        <v>77</v>
      </c>
      <c r="E275" s="7"/>
      <c r="F275" s="61">
        <f>F276</f>
        <v>5193.4</v>
      </c>
      <c r="G275" s="61">
        <f>G276</f>
        <v>2358.4</v>
      </c>
    </row>
    <row r="276" spans="1:7" ht="30">
      <c r="A276" s="36" t="s">
        <v>221</v>
      </c>
      <c r="B276" s="7" t="s">
        <v>224</v>
      </c>
      <c r="C276" s="7" t="s">
        <v>193</v>
      </c>
      <c r="D276" s="7" t="s">
        <v>77</v>
      </c>
      <c r="E276" s="7" t="s">
        <v>490</v>
      </c>
      <c r="F276" s="61">
        <f>F277+F278</f>
        <v>5193.4</v>
      </c>
      <c r="G276" s="61">
        <f>G277+G278</f>
        <v>2358.4</v>
      </c>
    </row>
    <row r="277" spans="1:7" ht="60.75" customHeight="1">
      <c r="A277" s="36" t="s">
        <v>568</v>
      </c>
      <c r="B277" s="7" t="s">
        <v>224</v>
      </c>
      <c r="C277" s="7" t="s">
        <v>193</v>
      </c>
      <c r="D277" s="7" t="s">
        <v>235</v>
      </c>
      <c r="E277" s="7" t="s">
        <v>491</v>
      </c>
      <c r="F277" s="61">
        <v>3230.4</v>
      </c>
      <c r="G277" s="61">
        <f>'Прил.8 Ведомств.'!H468</f>
        <v>1493.3</v>
      </c>
    </row>
    <row r="278" spans="1:7" ht="30">
      <c r="A278" s="36" t="s">
        <v>489</v>
      </c>
      <c r="B278" s="7" t="s">
        <v>224</v>
      </c>
      <c r="C278" s="7" t="s">
        <v>193</v>
      </c>
      <c r="D278" s="7" t="s">
        <v>236</v>
      </c>
      <c r="E278" s="7" t="s">
        <v>488</v>
      </c>
      <c r="F278" s="61">
        <v>1963</v>
      </c>
      <c r="G278" s="61">
        <f>'Прил.8 Ведомств.'!H469</f>
        <v>865.1</v>
      </c>
    </row>
    <row r="279" spans="1:7" ht="15">
      <c r="A279" s="36" t="s">
        <v>437</v>
      </c>
      <c r="B279" s="7" t="s">
        <v>224</v>
      </c>
      <c r="C279" s="7" t="s">
        <v>193</v>
      </c>
      <c r="D279" s="7" t="s">
        <v>438</v>
      </c>
      <c r="E279" s="7"/>
      <c r="F279" s="61">
        <f>F280</f>
        <v>20473</v>
      </c>
      <c r="G279" s="61">
        <f>G280</f>
        <v>10737.099999999999</v>
      </c>
    </row>
    <row r="280" spans="1:7" ht="45">
      <c r="A280" s="36" t="s">
        <v>330</v>
      </c>
      <c r="B280" s="7" t="s">
        <v>224</v>
      </c>
      <c r="C280" s="7" t="s">
        <v>193</v>
      </c>
      <c r="D280" s="7" t="s">
        <v>78</v>
      </c>
      <c r="E280" s="7"/>
      <c r="F280" s="61">
        <f>F281</f>
        <v>20473</v>
      </c>
      <c r="G280" s="61">
        <f>G281</f>
        <v>10737.099999999999</v>
      </c>
    </row>
    <row r="281" spans="1:7" ht="30">
      <c r="A281" s="36" t="s">
        <v>221</v>
      </c>
      <c r="B281" s="7" t="s">
        <v>224</v>
      </c>
      <c r="C281" s="7" t="s">
        <v>193</v>
      </c>
      <c r="D281" s="7" t="s">
        <v>78</v>
      </c>
      <c r="E281" s="7" t="s">
        <v>490</v>
      </c>
      <c r="F281" s="61">
        <f>F282+F283</f>
        <v>20473</v>
      </c>
      <c r="G281" s="61">
        <f>G282+G283</f>
        <v>10737.099999999999</v>
      </c>
    </row>
    <row r="282" spans="1:7" ht="58.5" customHeight="1">
      <c r="A282" s="36" t="s">
        <v>568</v>
      </c>
      <c r="B282" s="7" t="s">
        <v>224</v>
      </c>
      <c r="C282" s="7" t="s">
        <v>193</v>
      </c>
      <c r="D282" s="7" t="s">
        <v>237</v>
      </c>
      <c r="E282" s="7" t="s">
        <v>491</v>
      </c>
      <c r="F282" s="61">
        <v>18030.4</v>
      </c>
      <c r="G282" s="61">
        <f>'Прил.8 Ведомств.'!H473</f>
        <v>9729.3</v>
      </c>
    </row>
    <row r="283" spans="1:7" ht="30">
      <c r="A283" s="36" t="s">
        <v>489</v>
      </c>
      <c r="B283" s="7" t="s">
        <v>224</v>
      </c>
      <c r="C283" s="7" t="s">
        <v>193</v>
      </c>
      <c r="D283" s="7" t="s">
        <v>238</v>
      </c>
      <c r="E283" s="7" t="s">
        <v>488</v>
      </c>
      <c r="F283" s="61">
        <f>2050+392.6</f>
        <v>2442.6</v>
      </c>
      <c r="G283" s="61">
        <f>'Прил.8 Ведомств.'!H474</f>
        <v>1007.8</v>
      </c>
    </row>
    <row r="284" spans="1:7" ht="30">
      <c r="A284" s="36" t="s">
        <v>239</v>
      </c>
      <c r="B284" s="7" t="s">
        <v>224</v>
      </c>
      <c r="C284" s="7" t="s">
        <v>193</v>
      </c>
      <c r="D284" s="7" t="s">
        <v>79</v>
      </c>
      <c r="E284" s="7"/>
      <c r="F284" s="61">
        <f>F285</f>
        <v>5400</v>
      </c>
      <c r="G284" s="61">
        <f>G285</f>
        <v>2292.3</v>
      </c>
    </row>
    <row r="285" spans="1:7" ht="30">
      <c r="A285" s="36" t="s">
        <v>569</v>
      </c>
      <c r="B285" s="7" t="s">
        <v>224</v>
      </c>
      <c r="C285" s="7" t="s">
        <v>193</v>
      </c>
      <c r="D285" s="7" t="s">
        <v>146</v>
      </c>
      <c r="E285" s="7"/>
      <c r="F285" s="61">
        <f>F286+F288+F291+F293+F295+F297+F299+F301+F303+F305+F307</f>
        <v>5400</v>
      </c>
      <c r="G285" s="61">
        <f>G286+G288+G291+G293+G295+G297+G299+G301+G303+G305+G307</f>
        <v>2292.3</v>
      </c>
    </row>
    <row r="286" spans="1:7" ht="30">
      <c r="A286" s="36" t="s">
        <v>570</v>
      </c>
      <c r="B286" s="7" t="s">
        <v>224</v>
      </c>
      <c r="C286" s="7" t="s">
        <v>193</v>
      </c>
      <c r="D286" s="7" t="s">
        <v>147</v>
      </c>
      <c r="E286" s="7"/>
      <c r="F286" s="61">
        <f>F287</f>
        <v>2350</v>
      </c>
      <c r="G286" s="61">
        <f>G287</f>
        <v>1145</v>
      </c>
    </row>
    <row r="287" spans="1:7" ht="30">
      <c r="A287" s="36" t="s">
        <v>467</v>
      </c>
      <c r="B287" s="7" t="s">
        <v>224</v>
      </c>
      <c r="C287" s="7" t="s">
        <v>193</v>
      </c>
      <c r="D287" s="7" t="s">
        <v>147</v>
      </c>
      <c r="E287" s="7" t="s">
        <v>466</v>
      </c>
      <c r="F287" s="61">
        <v>2350</v>
      </c>
      <c r="G287" s="61">
        <f>'Прил.8 Ведомств.'!H252</f>
        <v>1145</v>
      </c>
    </row>
    <row r="288" spans="1:7" ht="45">
      <c r="A288" s="36" t="s">
        <v>240</v>
      </c>
      <c r="B288" s="7" t="s">
        <v>224</v>
      </c>
      <c r="C288" s="7" t="s">
        <v>193</v>
      </c>
      <c r="D288" s="7" t="s">
        <v>148</v>
      </c>
      <c r="E288" s="7"/>
      <c r="F288" s="61">
        <f>F289</f>
        <v>850</v>
      </c>
      <c r="G288" s="61">
        <f>G289</f>
        <v>0</v>
      </c>
    </row>
    <row r="289" spans="1:7" ht="30">
      <c r="A289" s="36" t="s">
        <v>467</v>
      </c>
      <c r="B289" s="7" t="s">
        <v>224</v>
      </c>
      <c r="C289" s="7" t="s">
        <v>193</v>
      </c>
      <c r="D289" s="7" t="s">
        <v>148</v>
      </c>
      <c r="E289" s="7" t="s">
        <v>466</v>
      </c>
      <c r="F289" s="61">
        <v>850</v>
      </c>
      <c r="G289" s="61">
        <f>'Прил.8 Ведомств.'!H254</f>
        <v>0</v>
      </c>
    </row>
    <row r="290" spans="1:7" ht="45">
      <c r="A290" s="36" t="s">
        <v>571</v>
      </c>
      <c r="B290" s="7" t="s">
        <v>224</v>
      </c>
      <c r="C290" s="7" t="s">
        <v>193</v>
      </c>
      <c r="D290" s="7" t="s">
        <v>149</v>
      </c>
      <c r="E290" s="7"/>
      <c r="F290" s="61">
        <f>F291</f>
        <v>225</v>
      </c>
      <c r="G290" s="61">
        <f>G291</f>
        <v>210</v>
      </c>
    </row>
    <row r="291" spans="1:7" ht="30">
      <c r="A291" s="36" t="s">
        <v>489</v>
      </c>
      <c r="B291" s="7" t="s">
        <v>224</v>
      </c>
      <c r="C291" s="7" t="s">
        <v>193</v>
      </c>
      <c r="D291" s="7" t="s">
        <v>149</v>
      </c>
      <c r="E291" s="7" t="s">
        <v>488</v>
      </c>
      <c r="F291" s="61">
        <v>225</v>
      </c>
      <c r="G291" s="61">
        <f>'Прил.8 Ведомств.'!H478</f>
        <v>210</v>
      </c>
    </row>
    <row r="292" spans="1:7" ht="45">
      <c r="A292" s="36" t="s">
        <v>572</v>
      </c>
      <c r="B292" s="7" t="s">
        <v>224</v>
      </c>
      <c r="C292" s="7" t="s">
        <v>193</v>
      </c>
      <c r="D292" s="7" t="s">
        <v>338</v>
      </c>
      <c r="E292" s="7"/>
      <c r="F292" s="61">
        <f>F293</f>
        <v>174</v>
      </c>
      <c r="G292" s="61">
        <f>G293</f>
        <v>0</v>
      </c>
    </row>
    <row r="293" spans="1:7" ht="30">
      <c r="A293" s="36" t="s">
        <v>489</v>
      </c>
      <c r="B293" s="7" t="s">
        <v>224</v>
      </c>
      <c r="C293" s="7" t="s">
        <v>193</v>
      </c>
      <c r="D293" s="7" t="s">
        <v>338</v>
      </c>
      <c r="E293" s="7" t="s">
        <v>488</v>
      </c>
      <c r="F293" s="61">
        <v>174</v>
      </c>
      <c r="G293" s="61">
        <f>'Прил.8 Ведомств.'!H402</f>
        <v>0</v>
      </c>
    </row>
    <row r="294" spans="1:7" ht="15">
      <c r="A294" s="36" t="s">
        <v>573</v>
      </c>
      <c r="B294" s="7" t="s">
        <v>224</v>
      </c>
      <c r="C294" s="7" t="s">
        <v>193</v>
      </c>
      <c r="D294" s="7" t="s">
        <v>150</v>
      </c>
      <c r="E294" s="7"/>
      <c r="F294" s="61">
        <f>F295</f>
        <v>221.5</v>
      </c>
      <c r="G294" s="61">
        <f>G295</f>
        <v>205.6</v>
      </c>
    </row>
    <row r="295" spans="1:7" ht="30">
      <c r="A295" s="36" t="s">
        <v>489</v>
      </c>
      <c r="B295" s="7" t="s">
        <v>224</v>
      </c>
      <c r="C295" s="7" t="s">
        <v>193</v>
      </c>
      <c r="D295" s="7" t="s">
        <v>150</v>
      </c>
      <c r="E295" s="7" t="s">
        <v>488</v>
      </c>
      <c r="F295" s="61">
        <v>221.5</v>
      </c>
      <c r="G295" s="61">
        <f>'Прил.8 Ведомств.'!H480</f>
        <v>205.6</v>
      </c>
    </row>
    <row r="296" spans="1:7" ht="15">
      <c r="A296" s="36" t="s">
        <v>574</v>
      </c>
      <c r="B296" s="7" t="s">
        <v>224</v>
      </c>
      <c r="C296" s="7" t="s">
        <v>193</v>
      </c>
      <c r="D296" s="7" t="s">
        <v>151</v>
      </c>
      <c r="E296" s="7"/>
      <c r="F296" s="61">
        <f>F297</f>
        <v>277.8</v>
      </c>
      <c r="G296" s="61">
        <f>G297</f>
        <v>146.6</v>
      </c>
    </row>
    <row r="297" spans="1:7" ht="30">
      <c r="A297" s="36" t="s">
        <v>489</v>
      </c>
      <c r="B297" s="7" t="s">
        <v>224</v>
      </c>
      <c r="C297" s="7" t="s">
        <v>193</v>
      </c>
      <c r="D297" s="7" t="s">
        <v>151</v>
      </c>
      <c r="E297" s="7" t="s">
        <v>488</v>
      </c>
      <c r="F297" s="61">
        <v>277.8</v>
      </c>
      <c r="G297" s="61">
        <f>'Прил.8 Ведомств.'!H482</f>
        <v>146.6</v>
      </c>
    </row>
    <row r="298" spans="1:7" ht="15">
      <c r="A298" s="36" t="s">
        <v>575</v>
      </c>
      <c r="B298" s="7" t="s">
        <v>224</v>
      </c>
      <c r="C298" s="7" t="s">
        <v>193</v>
      </c>
      <c r="D298" s="7" t="s">
        <v>152</v>
      </c>
      <c r="E298" s="7"/>
      <c r="F298" s="61">
        <f>F299</f>
        <v>333.2</v>
      </c>
      <c r="G298" s="61">
        <f>G299</f>
        <v>40</v>
      </c>
    </row>
    <row r="299" spans="1:7" ht="30">
      <c r="A299" s="36" t="s">
        <v>489</v>
      </c>
      <c r="B299" s="7" t="s">
        <v>224</v>
      </c>
      <c r="C299" s="7" t="s">
        <v>193</v>
      </c>
      <c r="D299" s="7" t="s">
        <v>152</v>
      </c>
      <c r="E299" s="7" t="s">
        <v>488</v>
      </c>
      <c r="F299" s="61">
        <v>333.2</v>
      </c>
      <c r="G299" s="61">
        <f>'Прил.8 Ведомств.'!H484</f>
        <v>40</v>
      </c>
    </row>
    <row r="300" spans="1:7" ht="19.5" customHeight="1">
      <c r="A300" s="36" t="s">
        <v>576</v>
      </c>
      <c r="B300" s="7" t="s">
        <v>224</v>
      </c>
      <c r="C300" s="7" t="s">
        <v>193</v>
      </c>
      <c r="D300" s="7" t="s">
        <v>153</v>
      </c>
      <c r="E300" s="7"/>
      <c r="F300" s="61">
        <f>F301</f>
        <v>100</v>
      </c>
      <c r="G300" s="61">
        <f>G301</f>
        <v>54.8</v>
      </c>
    </row>
    <row r="301" spans="1:7" ht="30">
      <c r="A301" s="36" t="s">
        <v>489</v>
      </c>
      <c r="B301" s="7" t="s">
        <v>224</v>
      </c>
      <c r="C301" s="7" t="s">
        <v>193</v>
      </c>
      <c r="D301" s="7" t="s">
        <v>153</v>
      </c>
      <c r="E301" s="7" t="s">
        <v>488</v>
      </c>
      <c r="F301" s="61">
        <v>100</v>
      </c>
      <c r="G301" s="61">
        <f>'Прил.8 Ведомств.'!H486</f>
        <v>54.8</v>
      </c>
    </row>
    <row r="302" spans="1:7" ht="45">
      <c r="A302" s="36" t="s">
        <v>627</v>
      </c>
      <c r="B302" s="7" t="s">
        <v>224</v>
      </c>
      <c r="C302" s="7" t="s">
        <v>193</v>
      </c>
      <c r="D302" s="7" t="s">
        <v>154</v>
      </c>
      <c r="E302" s="7"/>
      <c r="F302" s="61">
        <f>F303</f>
        <v>43.5</v>
      </c>
      <c r="G302" s="61">
        <f>G303</f>
        <v>19</v>
      </c>
    </row>
    <row r="303" spans="1:7" ht="30">
      <c r="A303" s="36" t="s">
        <v>489</v>
      </c>
      <c r="B303" s="7" t="s">
        <v>224</v>
      </c>
      <c r="C303" s="7" t="s">
        <v>193</v>
      </c>
      <c r="D303" s="7" t="s">
        <v>154</v>
      </c>
      <c r="E303" s="7" t="s">
        <v>488</v>
      </c>
      <c r="F303" s="61">
        <v>43.5</v>
      </c>
      <c r="G303" s="61">
        <f>'Прил.8 Ведомств.'!H488</f>
        <v>19</v>
      </c>
    </row>
    <row r="304" spans="1:7" ht="45">
      <c r="A304" s="36" t="s">
        <v>628</v>
      </c>
      <c r="B304" s="7" t="s">
        <v>224</v>
      </c>
      <c r="C304" s="7" t="s">
        <v>193</v>
      </c>
      <c r="D304" s="7" t="s">
        <v>155</v>
      </c>
      <c r="E304" s="7"/>
      <c r="F304" s="61">
        <f>F305</f>
        <v>425</v>
      </c>
      <c r="G304" s="61">
        <f>G305</f>
        <v>383</v>
      </c>
    </row>
    <row r="305" spans="1:7" ht="30">
      <c r="A305" s="36" t="s">
        <v>489</v>
      </c>
      <c r="B305" s="7" t="s">
        <v>224</v>
      </c>
      <c r="C305" s="7" t="s">
        <v>193</v>
      </c>
      <c r="D305" s="7" t="s">
        <v>155</v>
      </c>
      <c r="E305" s="7" t="s">
        <v>488</v>
      </c>
      <c r="F305" s="61">
        <v>425</v>
      </c>
      <c r="G305" s="61">
        <f>'Прил.8 Ведомств.'!H490</f>
        <v>383</v>
      </c>
    </row>
    <row r="306" spans="1:7" ht="108" customHeight="1">
      <c r="A306" s="36" t="s">
        <v>517</v>
      </c>
      <c r="B306" s="7" t="s">
        <v>224</v>
      </c>
      <c r="C306" s="7" t="s">
        <v>193</v>
      </c>
      <c r="D306" s="7" t="s">
        <v>370</v>
      </c>
      <c r="E306" s="7"/>
      <c r="F306" s="61">
        <f>F307</f>
        <v>400</v>
      </c>
      <c r="G306" s="61">
        <f>G307</f>
        <v>88.3</v>
      </c>
    </row>
    <row r="307" spans="1:7" ht="30">
      <c r="A307" s="36" t="s">
        <v>467</v>
      </c>
      <c r="B307" s="7" t="s">
        <v>224</v>
      </c>
      <c r="C307" s="7" t="s">
        <v>193</v>
      </c>
      <c r="D307" s="7" t="s">
        <v>370</v>
      </c>
      <c r="E307" s="7" t="s">
        <v>466</v>
      </c>
      <c r="F307" s="61">
        <v>400</v>
      </c>
      <c r="G307" s="61">
        <f>'Прил.8 Ведомств.'!H265</f>
        <v>88.3</v>
      </c>
    </row>
    <row r="308" spans="1:7" ht="30">
      <c r="A308" s="36" t="s">
        <v>545</v>
      </c>
      <c r="B308" s="7" t="s">
        <v>224</v>
      </c>
      <c r="C308" s="7" t="s">
        <v>193</v>
      </c>
      <c r="D308" s="7" t="s">
        <v>450</v>
      </c>
      <c r="E308" s="7"/>
      <c r="F308" s="61">
        <f>F309+F311</f>
        <v>58700</v>
      </c>
      <c r="G308" s="61">
        <f>G309+G311</f>
        <v>1200</v>
      </c>
    </row>
    <row r="309" spans="1:7" ht="30">
      <c r="A309" s="36" t="s">
        <v>305</v>
      </c>
      <c r="B309" s="7" t="s">
        <v>224</v>
      </c>
      <c r="C309" s="7" t="s">
        <v>193</v>
      </c>
      <c r="D309" s="7" t="s">
        <v>306</v>
      </c>
      <c r="E309" s="7"/>
      <c r="F309" s="61">
        <f>F310</f>
        <v>1200</v>
      </c>
      <c r="G309" s="61">
        <f>G310</f>
        <v>1200</v>
      </c>
    </row>
    <row r="310" spans="1:7" ht="30">
      <c r="A310" s="36" t="s">
        <v>467</v>
      </c>
      <c r="B310" s="7" t="s">
        <v>224</v>
      </c>
      <c r="C310" s="7" t="s">
        <v>193</v>
      </c>
      <c r="D310" s="7" t="s">
        <v>306</v>
      </c>
      <c r="E310" s="7" t="s">
        <v>466</v>
      </c>
      <c r="F310" s="61">
        <v>1200</v>
      </c>
      <c r="G310" s="61">
        <f>'Прил.8 Ведомств.'!H268</f>
        <v>1200</v>
      </c>
    </row>
    <row r="311" spans="1:7" ht="60">
      <c r="A311" s="36" t="s">
        <v>525</v>
      </c>
      <c r="B311" s="7" t="s">
        <v>224</v>
      </c>
      <c r="C311" s="7" t="s">
        <v>193</v>
      </c>
      <c r="D311" s="7" t="s">
        <v>344</v>
      </c>
      <c r="E311" s="7"/>
      <c r="F311" s="61">
        <f>F312</f>
        <v>57500</v>
      </c>
      <c r="G311" s="61">
        <f>G312</f>
        <v>0</v>
      </c>
    </row>
    <row r="312" spans="1:7" ht="30">
      <c r="A312" s="36" t="s">
        <v>489</v>
      </c>
      <c r="B312" s="7" t="s">
        <v>224</v>
      </c>
      <c r="C312" s="7" t="s">
        <v>193</v>
      </c>
      <c r="D312" s="7" t="s">
        <v>344</v>
      </c>
      <c r="E312" s="7" t="s">
        <v>488</v>
      </c>
      <c r="F312" s="61">
        <v>57500</v>
      </c>
      <c r="G312" s="61">
        <f>'Прил.8 Ведомств.'!H519</f>
        <v>0</v>
      </c>
    </row>
    <row r="313" spans="1:7" ht="31.5" customHeight="1">
      <c r="A313" s="36" t="s">
        <v>206</v>
      </c>
      <c r="B313" s="7" t="s">
        <v>224</v>
      </c>
      <c r="C313" s="7" t="s">
        <v>193</v>
      </c>
      <c r="D313" s="7" t="s">
        <v>33</v>
      </c>
      <c r="E313" s="7"/>
      <c r="F313" s="61">
        <f>F314</f>
        <v>67</v>
      </c>
      <c r="G313" s="61">
        <f>G314</f>
        <v>0</v>
      </c>
    </row>
    <row r="314" spans="1:7" ht="47.25" customHeight="1">
      <c r="A314" s="36" t="s">
        <v>448</v>
      </c>
      <c r="B314" s="7" t="s">
        <v>224</v>
      </c>
      <c r="C314" s="7" t="s">
        <v>193</v>
      </c>
      <c r="D314" s="7" t="s">
        <v>449</v>
      </c>
      <c r="E314" s="7"/>
      <c r="F314" s="61">
        <f>F315</f>
        <v>67</v>
      </c>
      <c r="G314" s="61">
        <f>G315</f>
        <v>0</v>
      </c>
    </row>
    <row r="315" spans="1:7" ht="30">
      <c r="A315" s="36" t="s">
        <v>489</v>
      </c>
      <c r="B315" s="7" t="s">
        <v>224</v>
      </c>
      <c r="C315" s="7" t="s">
        <v>193</v>
      </c>
      <c r="D315" s="7" t="s">
        <v>449</v>
      </c>
      <c r="E315" s="7" t="s">
        <v>488</v>
      </c>
      <c r="F315" s="61">
        <f>20+20+27</f>
        <v>67</v>
      </c>
      <c r="G315" s="61">
        <f>'Прил.8 Ведомств.'!H524</f>
        <v>0</v>
      </c>
    </row>
    <row r="316" spans="1:7" ht="15.75">
      <c r="A316" s="60" t="s">
        <v>137</v>
      </c>
      <c r="B316" s="7" t="s">
        <v>224</v>
      </c>
      <c r="C316" s="7" t="s">
        <v>214</v>
      </c>
      <c r="D316" s="7"/>
      <c r="E316" s="7"/>
      <c r="F316" s="61">
        <f>F317+F322</f>
        <v>1450</v>
      </c>
      <c r="G316" s="61">
        <f>G317+G322</f>
        <v>1350</v>
      </c>
    </row>
    <row r="317" spans="1:7" ht="30">
      <c r="A317" s="36" t="s">
        <v>629</v>
      </c>
      <c r="B317" s="7" t="s">
        <v>224</v>
      </c>
      <c r="C317" s="7" t="s">
        <v>214</v>
      </c>
      <c r="D317" s="7" t="s">
        <v>114</v>
      </c>
      <c r="E317" s="7"/>
      <c r="F317" s="61">
        <f>F318+F320</f>
        <v>950</v>
      </c>
      <c r="G317" s="61">
        <f>G318+G320</f>
        <v>850</v>
      </c>
    </row>
    <row r="318" spans="1:7" ht="30">
      <c r="A318" s="36" t="s">
        <v>630</v>
      </c>
      <c r="B318" s="7" t="s">
        <v>224</v>
      </c>
      <c r="C318" s="7" t="s">
        <v>214</v>
      </c>
      <c r="D318" s="7" t="s">
        <v>245</v>
      </c>
      <c r="E318" s="7"/>
      <c r="F318" s="61">
        <f>F319</f>
        <v>100</v>
      </c>
      <c r="G318" s="61">
        <f>G319</f>
        <v>0</v>
      </c>
    </row>
    <row r="319" spans="1:7" ht="30">
      <c r="A319" s="36" t="s">
        <v>467</v>
      </c>
      <c r="B319" s="7" t="s">
        <v>224</v>
      </c>
      <c r="C319" s="7" t="s">
        <v>214</v>
      </c>
      <c r="D319" s="7" t="s">
        <v>245</v>
      </c>
      <c r="E319" s="7" t="s">
        <v>466</v>
      </c>
      <c r="F319" s="61">
        <v>100</v>
      </c>
      <c r="G319" s="61">
        <f>'Прил.8 Ведомств.'!H274</f>
        <v>0</v>
      </c>
    </row>
    <row r="320" spans="1:7" ht="30">
      <c r="A320" s="36" t="s">
        <v>631</v>
      </c>
      <c r="B320" s="7" t="s">
        <v>224</v>
      </c>
      <c r="C320" s="7" t="s">
        <v>214</v>
      </c>
      <c r="D320" s="7" t="s">
        <v>246</v>
      </c>
      <c r="E320" s="7"/>
      <c r="F320" s="61">
        <f>F321</f>
        <v>850</v>
      </c>
      <c r="G320" s="61">
        <f>G321</f>
        <v>850</v>
      </c>
    </row>
    <row r="321" spans="1:7" ht="30">
      <c r="A321" s="36" t="s">
        <v>467</v>
      </c>
      <c r="B321" s="7" t="s">
        <v>224</v>
      </c>
      <c r="C321" s="7" t="s">
        <v>214</v>
      </c>
      <c r="D321" s="7" t="s">
        <v>246</v>
      </c>
      <c r="E321" s="7" t="s">
        <v>466</v>
      </c>
      <c r="F321" s="61">
        <v>850</v>
      </c>
      <c r="G321" s="61">
        <f>'Прил.8 Ведомств.'!H276</f>
        <v>850</v>
      </c>
    </row>
    <row r="322" spans="1:7" ht="30" customHeight="1">
      <c r="A322" s="36" t="s">
        <v>206</v>
      </c>
      <c r="B322" s="7" t="s">
        <v>224</v>
      </c>
      <c r="C322" s="7" t="s">
        <v>214</v>
      </c>
      <c r="D322" s="7" t="s">
        <v>33</v>
      </c>
      <c r="E322" s="7"/>
      <c r="F322" s="61">
        <f>F323</f>
        <v>500</v>
      </c>
      <c r="G322" s="61">
        <f>G323</f>
        <v>500</v>
      </c>
    </row>
    <row r="323" spans="1:7" ht="46.5" customHeight="1">
      <c r="A323" s="36" t="s">
        <v>448</v>
      </c>
      <c r="B323" s="7" t="s">
        <v>224</v>
      </c>
      <c r="C323" s="7" t="s">
        <v>214</v>
      </c>
      <c r="D323" s="7" t="s">
        <v>449</v>
      </c>
      <c r="E323" s="7"/>
      <c r="F323" s="61">
        <f>F324</f>
        <v>500</v>
      </c>
      <c r="G323" s="61">
        <f>G324</f>
        <v>500</v>
      </c>
    </row>
    <row r="324" spans="1:7" ht="30">
      <c r="A324" s="36" t="s">
        <v>467</v>
      </c>
      <c r="B324" s="7" t="s">
        <v>224</v>
      </c>
      <c r="C324" s="7" t="s">
        <v>214</v>
      </c>
      <c r="D324" s="7" t="s">
        <v>449</v>
      </c>
      <c r="E324" s="7" t="s">
        <v>466</v>
      </c>
      <c r="F324" s="61">
        <v>500</v>
      </c>
      <c r="G324" s="61">
        <f>'Прил.8 Ведомств.'!H278</f>
        <v>500</v>
      </c>
    </row>
    <row r="325" spans="1:7" ht="31.5">
      <c r="A325" s="60" t="s">
        <v>247</v>
      </c>
      <c r="B325" s="7" t="s">
        <v>224</v>
      </c>
      <c r="C325" s="7" t="s">
        <v>196</v>
      </c>
      <c r="D325" s="7"/>
      <c r="E325" s="7"/>
      <c r="F325" s="61">
        <f>F326</f>
        <v>4678.8</v>
      </c>
      <c r="G325" s="61">
        <f>G326</f>
        <v>2097.4999999999995</v>
      </c>
    </row>
    <row r="326" spans="1:7" ht="45">
      <c r="A326" s="36" t="s">
        <v>248</v>
      </c>
      <c r="B326" s="7" t="s">
        <v>224</v>
      </c>
      <c r="C326" s="7" t="s">
        <v>196</v>
      </c>
      <c r="D326" s="7" t="s">
        <v>80</v>
      </c>
      <c r="E326" s="7"/>
      <c r="F326" s="61">
        <f>F327</f>
        <v>4678.8</v>
      </c>
      <c r="G326" s="61">
        <f>G327</f>
        <v>2097.4999999999995</v>
      </c>
    </row>
    <row r="327" spans="1:7" ht="30">
      <c r="A327" s="36" t="s">
        <v>76</v>
      </c>
      <c r="B327" s="7" t="s">
        <v>224</v>
      </c>
      <c r="C327" s="7" t="s">
        <v>196</v>
      </c>
      <c r="D327" s="7" t="s">
        <v>81</v>
      </c>
      <c r="E327" s="7"/>
      <c r="F327" s="61">
        <f>F328+F329+F331+F332+F330</f>
        <v>4678.8</v>
      </c>
      <c r="G327" s="61">
        <f>G328+G329+G331+G332+G330</f>
        <v>2097.4999999999995</v>
      </c>
    </row>
    <row r="328" spans="1:7" ht="30">
      <c r="A328" s="36" t="s">
        <v>494</v>
      </c>
      <c r="B328" s="7" t="s">
        <v>224</v>
      </c>
      <c r="C328" s="7" t="s">
        <v>196</v>
      </c>
      <c r="D328" s="7" t="s">
        <v>81</v>
      </c>
      <c r="E328" s="7" t="s">
        <v>474</v>
      </c>
      <c r="F328" s="61">
        <v>4039.2</v>
      </c>
      <c r="G328" s="61">
        <f>'Прил.8 Ведомств.'!H528</f>
        <v>1777.1</v>
      </c>
    </row>
    <row r="329" spans="1:7" ht="30">
      <c r="A329" s="36" t="s">
        <v>538</v>
      </c>
      <c r="B329" s="7" t="s">
        <v>224</v>
      </c>
      <c r="C329" s="7" t="s">
        <v>196</v>
      </c>
      <c r="D329" s="7" t="s">
        <v>81</v>
      </c>
      <c r="E329" s="7" t="s">
        <v>516</v>
      </c>
      <c r="F329" s="61">
        <v>0.1</v>
      </c>
      <c r="G329" s="61">
        <f>'Прил.8 Ведомств.'!H529</f>
        <v>0.1</v>
      </c>
    </row>
    <row r="330" spans="1:7" ht="45">
      <c r="A330" s="36" t="s">
        <v>484</v>
      </c>
      <c r="B330" s="7" t="s">
        <v>224</v>
      </c>
      <c r="C330" s="7" t="s">
        <v>196</v>
      </c>
      <c r="D330" s="7" t="s">
        <v>81</v>
      </c>
      <c r="E330" s="7" t="s">
        <v>483</v>
      </c>
      <c r="F330" s="61">
        <f>367.6-4.5</f>
        <v>363.1</v>
      </c>
      <c r="G330" s="61">
        <f>'Прил.8 Ведомств.'!H530</f>
        <v>202.2</v>
      </c>
    </row>
    <row r="331" spans="1:7" ht="30">
      <c r="A331" s="36" t="s">
        <v>467</v>
      </c>
      <c r="B331" s="7" t="s">
        <v>224</v>
      </c>
      <c r="C331" s="7" t="s">
        <v>196</v>
      </c>
      <c r="D331" s="7" t="s">
        <v>81</v>
      </c>
      <c r="E331" s="7" t="s">
        <v>466</v>
      </c>
      <c r="F331" s="61">
        <f>269.4+4.5</f>
        <v>273.9</v>
      </c>
      <c r="G331" s="61">
        <f>'Прил.8 Ведомств.'!H531</f>
        <v>118</v>
      </c>
    </row>
    <row r="332" spans="1:7" ht="30">
      <c r="A332" s="36" t="s">
        <v>473</v>
      </c>
      <c r="B332" s="7" t="s">
        <v>224</v>
      </c>
      <c r="C332" s="7" t="s">
        <v>196</v>
      </c>
      <c r="D332" s="7" t="s">
        <v>81</v>
      </c>
      <c r="E332" s="7" t="s">
        <v>472</v>
      </c>
      <c r="F332" s="61">
        <v>2.5</v>
      </c>
      <c r="G332" s="61">
        <f>'Прил.8 Ведомств.'!H532</f>
        <v>0.1</v>
      </c>
    </row>
    <row r="333" spans="1:7" ht="15.75">
      <c r="A333" s="57" t="s">
        <v>8</v>
      </c>
      <c r="B333" s="6" t="s">
        <v>208</v>
      </c>
      <c r="C333" s="6" t="s">
        <v>194</v>
      </c>
      <c r="D333" s="6"/>
      <c r="E333" s="6"/>
      <c r="F333" s="59">
        <f>F334+F338</f>
        <v>46399.6</v>
      </c>
      <c r="G333" s="59">
        <f>G334+G338</f>
        <v>23006.9</v>
      </c>
    </row>
    <row r="334" spans="1:7" ht="15.75">
      <c r="A334" s="60" t="s">
        <v>102</v>
      </c>
      <c r="B334" s="7" t="s">
        <v>208</v>
      </c>
      <c r="C334" s="7" t="s">
        <v>193</v>
      </c>
      <c r="D334" s="7"/>
      <c r="E334" s="7"/>
      <c r="F334" s="61">
        <f aca="true" t="shared" si="3" ref="F334:G336">F335</f>
        <v>1200</v>
      </c>
      <c r="G334" s="61">
        <f t="shared" si="3"/>
        <v>498.4</v>
      </c>
    </row>
    <row r="335" spans="1:7" ht="45">
      <c r="A335" s="36" t="s">
        <v>103</v>
      </c>
      <c r="B335" s="7" t="s">
        <v>208</v>
      </c>
      <c r="C335" s="7" t="s">
        <v>193</v>
      </c>
      <c r="D335" s="7" t="s">
        <v>104</v>
      </c>
      <c r="E335" s="7"/>
      <c r="F335" s="61">
        <f t="shared" si="3"/>
        <v>1200</v>
      </c>
      <c r="G335" s="61">
        <f t="shared" si="3"/>
        <v>498.4</v>
      </c>
    </row>
    <row r="336" spans="1:7" ht="30">
      <c r="A336" s="36" t="s">
        <v>105</v>
      </c>
      <c r="B336" s="7" t="s">
        <v>208</v>
      </c>
      <c r="C336" s="7" t="s">
        <v>193</v>
      </c>
      <c r="D336" s="7" t="s">
        <v>106</v>
      </c>
      <c r="E336" s="7"/>
      <c r="F336" s="61">
        <f t="shared" si="3"/>
        <v>1200</v>
      </c>
      <c r="G336" s="61">
        <f t="shared" si="3"/>
        <v>498.4</v>
      </c>
    </row>
    <row r="337" spans="1:7" ht="60">
      <c r="A337" s="36" t="s">
        <v>632</v>
      </c>
      <c r="B337" s="7" t="s">
        <v>208</v>
      </c>
      <c r="C337" s="7" t="s">
        <v>193</v>
      </c>
      <c r="D337" s="7" t="s">
        <v>106</v>
      </c>
      <c r="E337" s="7" t="s">
        <v>479</v>
      </c>
      <c r="F337" s="61">
        <v>1200</v>
      </c>
      <c r="G337" s="61">
        <f>'Прил.8 Ведомств.'!H283</f>
        <v>498.4</v>
      </c>
    </row>
    <row r="338" spans="1:7" ht="31.5">
      <c r="A338" s="67" t="s">
        <v>107</v>
      </c>
      <c r="B338" s="7" t="s">
        <v>208</v>
      </c>
      <c r="C338" s="7" t="s">
        <v>195</v>
      </c>
      <c r="D338" s="32"/>
      <c r="E338" s="32"/>
      <c r="F338" s="61">
        <f>F339+F343+F370+F389+F380</f>
        <v>45199.6</v>
      </c>
      <c r="G338" s="61">
        <f>G339+G343+G370+G389+G380</f>
        <v>22508.5</v>
      </c>
    </row>
    <row r="339" spans="1:7" ht="15">
      <c r="A339" s="64" t="s">
        <v>430</v>
      </c>
      <c r="B339" s="7" t="s">
        <v>208</v>
      </c>
      <c r="C339" s="7" t="s">
        <v>195</v>
      </c>
      <c r="D339" s="7" t="s">
        <v>633</v>
      </c>
      <c r="E339" s="7"/>
      <c r="F339" s="61">
        <f>F340</f>
        <v>1002.2</v>
      </c>
      <c r="G339" s="61">
        <f>G340</f>
        <v>703.1</v>
      </c>
    </row>
    <row r="340" spans="1:7" ht="30">
      <c r="A340" s="63" t="s">
        <v>634</v>
      </c>
      <c r="B340" s="7" t="s">
        <v>208</v>
      </c>
      <c r="C340" s="9" t="s">
        <v>195</v>
      </c>
      <c r="D340" s="32">
        <v>1008800</v>
      </c>
      <c r="E340" s="9" t="s">
        <v>481</v>
      </c>
      <c r="F340" s="61">
        <f>F342+F341</f>
        <v>1002.2</v>
      </c>
      <c r="G340" s="61">
        <f>G342+G341</f>
        <v>703.1</v>
      </c>
    </row>
    <row r="341" spans="1:7" ht="60">
      <c r="A341" s="63" t="s">
        <v>635</v>
      </c>
      <c r="B341" s="7" t="s">
        <v>208</v>
      </c>
      <c r="C341" s="7" t="s">
        <v>195</v>
      </c>
      <c r="D341" s="5">
        <v>1008820</v>
      </c>
      <c r="E341" s="7" t="s">
        <v>481</v>
      </c>
      <c r="F341" s="61">
        <v>502.2</v>
      </c>
      <c r="G341" s="61">
        <f>'Прил.8 Ведомств.'!H287</f>
        <v>502.2</v>
      </c>
    </row>
    <row r="342" spans="1:7" ht="60">
      <c r="A342" s="68" t="s">
        <v>636</v>
      </c>
      <c r="B342" s="7" t="s">
        <v>208</v>
      </c>
      <c r="C342" s="7" t="s">
        <v>195</v>
      </c>
      <c r="D342" s="5">
        <v>1008822</v>
      </c>
      <c r="E342" s="7" t="s">
        <v>481</v>
      </c>
      <c r="F342" s="61">
        <f>2550-2050</f>
        <v>500</v>
      </c>
      <c r="G342" s="61">
        <f>'Прил.8 Ведомств.'!H289</f>
        <v>200.9</v>
      </c>
    </row>
    <row r="343" spans="1:7" ht="15">
      <c r="A343" s="63" t="s">
        <v>637</v>
      </c>
      <c r="B343" s="7" t="s">
        <v>208</v>
      </c>
      <c r="C343" s="7" t="s">
        <v>195</v>
      </c>
      <c r="D343" s="32">
        <v>5050000</v>
      </c>
      <c r="E343" s="32"/>
      <c r="F343" s="61">
        <f>F344+F346+F353+F356</f>
        <v>24515</v>
      </c>
      <c r="G343" s="61">
        <f>G344+G346+G353+G356</f>
        <v>8690.400000000001</v>
      </c>
    </row>
    <row r="344" spans="1:7" ht="30">
      <c r="A344" s="63" t="s">
        <v>108</v>
      </c>
      <c r="B344" s="7" t="s">
        <v>208</v>
      </c>
      <c r="C344" s="7" t="s">
        <v>195</v>
      </c>
      <c r="D344" s="32">
        <v>5053300</v>
      </c>
      <c r="E344" s="32"/>
      <c r="F344" s="61">
        <f>F345</f>
        <v>150</v>
      </c>
      <c r="G344" s="61">
        <f>G345</f>
        <v>119</v>
      </c>
    </row>
    <row r="345" spans="1:7" ht="30">
      <c r="A345" s="36" t="s">
        <v>467</v>
      </c>
      <c r="B345" s="7" t="s">
        <v>208</v>
      </c>
      <c r="C345" s="7" t="s">
        <v>195</v>
      </c>
      <c r="D345" s="32">
        <v>5053300</v>
      </c>
      <c r="E345" s="9" t="s">
        <v>466</v>
      </c>
      <c r="F345" s="61">
        <v>150</v>
      </c>
      <c r="G345" s="61">
        <f>'Прил.8 Ведомств.'!H292</f>
        <v>119</v>
      </c>
    </row>
    <row r="346" spans="1:7" ht="45">
      <c r="A346" s="63" t="s">
        <v>99</v>
      </c>
      <c r="B346" s="7" t="s">
        <v>208</v>
      </c>
      <c r="C346" s="7" t="s">
        <v>195</v>
      </c>
      <c r="D346" s="5">
        <v>5054600</v>
      </c>
      <c r="E346" s="5"/>
      <c r="F346" s="61">
        <f>F347+F350</f>
        <v>11230</v>
      </c>
      <c r="G346" s="61">
        <f>G347+G350</f>
        <v>4224.200000000001</v>
      </c>
    </row>
    <row r="347" spans="1:7" ht="44.25" customHeight="1">
      <c r="A347" s="63" t="s">
        <v>293</v>
      </c>
      <c r="B347" s="7" t="s">
        <v>208</v>
      </c>
      <c r="C347" s="7" t="s">
        <v>195</v>
      </c>
      <c r="D347" s="5">
        <v>5054601</v>
      </c>
      <c r="E347" s="7"/>
      <c r="F347" s="61">
        <f>F348+F349</f>
        <v>10980</v>
      </c>
      <c r="G347" s="61">
        <f>G348+G349</f>
        <v>4131.1</v>
      </c>
    </row>
    <row r="348" spans="1:7" ht="45">
      <c r="A348" s="63" t="s">
        <v>509</v>
      </c>
      <c r="B348" s="7" t="s">
        <v>208</v>
      </c>
      <c r="C348" s="7" t="s">
        <v>195</v>
      </c>
      <c r="D348" s="5">
        <v>5054601</v>
      </c>
      <c r="E348" s="7" t="s">
        <v>508</v>
      </c>
      <c r="F348" s="61">
        <f>7085+3770</f>
        <v>10855</v>
      </c>
      <c r="G348" s="61">
        <f>'Прил.8 Ведомств.'!H295</f>
        <v>4077.1</v>
      </c>
    </row>
    <row r="349" spans="1:7" ht="30">
      <c r="A349" s="63" t="s">
        <v>506</v>
      </c>
      <c r="B349" s="7" t="s">
        <v>208</v>
      </c>
      <c r="C349" s="7" t="s">
        <v>195</v>
      </c>
      <c r="D349" s="5">
        <v>5054601</v>
      </c>
      <c r="E349" s="7" t="s">
        <v>505</v>
      </c>
      <c r="F349" s="61">
        <f>100+25</f>
        <v>125</v>
      </c>
      <c r="G349" s="61">
        <f>'Прил.8 Ведомств.'!H296</f>
        <v>54</v>
      </c>
    </row>
    <row r="350" spans="1:7" ht="45">
      <c r="A350" s="63" t="s">
        <v>638</v>
      </c>
      <c r="B350" s="7" t="s">
        <v>208</v>
      </c>
      <c r="C350" s="7" t="s">
        <v>195</v>
      </c>
      <c r="D350" s="5">
        <v>5054602</v>
      </c>
      <c r="E350" s="7"/>
      <c r="F350" s="61">
        <f>F351+F352</f>
        <v>250</v>
      </c>
      <c r="G350" s="61">
        <f>G351+G352</f>
        <v>93.1</v>
      </c>
    </row>
    <row r="351" spans="1:7" ht="45">
      <c r="A351" s="63" t="s">
        <v>509</v>
      </c>
      <c r="B351" s="7" t="s">
        <v>208</v>
      </c>
      <c r="C351" s="7" t="s">
        <v>195</v>
      </c>
      <c r="D351" s="5">
        <v>5054602</v>
      </c>
      <c r="E351" s="7" t="s">
        <v>508</v>
      </c>
      <c r="F351" s="61">
        <v>248</v>
      </c>
      <c r="G351" s="61">
        <f>'Прил.8 Ведомств.'!H298</f>
        <v>92.6</v>
      </c>
    </row>
    <row r="352" spans="1:7" ht="30">
      <c r="A352" s="63" t="s">
        <v>506</v>
      </c>
      <c r="B352" s="7" t="s">
        <v>208</v>
      </c>
      <c r="C352" s="7" t="s">
        <v>195</v>
      </c>
      <c r="D352" s="5">
        <v>5054602</v>
      </c>
      <c r="E352" s="7" t="s">
        <v>505</v>
      </c>
      <c r="F352" s="61">
        <v>2</v>
      </c>
      <c r="G352" s="61">
        <f>'Прил.8 Ведомств.'!H299</f>
        <v>0.5</v>
      </c>
    </row>
    <row r="353" spans="1:7" ht="45">
      <c r="A353" s="63" t="s">
        <v>91</v>
      </c>
      <c r="B353" s="7" t="s">
        <v>208</v>
      </c>
      <c r="C353" s="7" t="s">
        <v>195</v>
      </c>
      <c r="D353" s="5">
        <v>5054800</v>
      </c>
      <c r="E353" s="5"/>
      <c r="F353" s="61">
        <f>F354+F355</f>
        <v>9300</v>
      </c>
      <c r="G353" s="61">
        <f>G354+G355</f>
        <v>3032.3</v>
      </c>
    </row>
    <row r="354" spans="1:7" ht="45">
      <c r="A354" s="63" t="s">
        <v>509</v>
      </c>
      <c r="B354" s="7" t="s">
        <v>208</v>
      </c>
      <c r="C354" s="7" t="s">
        <v>195</v>
      </c>
      <c r="D354" s="5">
        <v>5054800</v>
      </c>
      <c r="E354" s="5">
        <v>314</v>
      </c>
      <c r="F354" s="61">
        <v>9200</v>
      </c>
      <c r="G354" s="61">
        <f>'Прил.8 Ведомств.'!H301</f>
        <v>3000.4</v>
      </c>
    </row>
    <row r="355" spans="1:7" ht="30">
      <c r="A355" s="63" t="s">
        <v>506</v>
      </c>
      <c r="B355" s="7" t="s">
        <v>208</v>
      </c>
      <c r="C355" s="7" t="s">
        <v>195</v>
      </c>
      <c r="D355" s="32">
        <v>5054800</v>
      </c>
      <c r="E355" s="9" t="s">
        <v>505</v>
      </c>
      <c r="F355" s="61">
        <v>100</v>
      </c>
      <c r="G355" s="61">
        <f>'Прил.8 Ведомств.'!H302</f>
        <v>31.9</v>
      </c>
    </row>
    <row r="356" spans="1:7" ht="30">
      <c r="A356" s="63" t="s">
        <v>92</v>
      </c>
      <c r="B356" s="7" t="s">
        <v>208</v>
      </c>
      <c r="C356" s="7" t="s">
        <v>195</v>
      </c>
      <c r="D356" s="32">
        <v>5058600</v>
      </c>
      <c r="E356" s="32"/>
      <c r="F356" s="61">
        <f>F357+F360+F362+F364+F367</f>
        <v>3835</v>
      </c>
      <c r="G356" s="61">
        <f>G357+G360+G362+G364+G367</f>
        <v>1314.8999999999999</v>
      </c>
    </row>
    <row r="357" spans="1:7" ht="30">
      <c r="A357" s="63" t="s">
        <v>281</v>
      </c>
      <c r="B357" s="7" t="s">
        <v>208</v>
      </c>
      <c r="C357" s="7" t="s">
        <v>195</v>
      </c>
      <c r="D357" s="69">
        <v>5058601</v>
      </c>
      <c r="E357" s="9"/>
      <c r="F357" s="61">
        <f>F358+F359</f>
        <v>200</v>
      </c>
      <c r="G357" s="61">
        <f>G358+G359</f>
        <v>72.4</v>
      </c>
    </row>
    <row r="358" spans="1:7" ht="45">
      <c r="A358" s="63" t="s">
        <v>509</v>
      </c>
      <c r="B358" s="7" t="s">
        <v>208</v>
      </c>
      <c r="C358" s="7" t="s">
        <v>195</v>
      </c>
      <c r="D358" s="69">
        <v>5058601</v>
      </c>
      <c r="E358" s="70" t="s">
        <v>508</v>
      </c>
      <c r="F358" s="61">
        <v>199</v>
      </c>
      <c r="G358" s="61">
        <f>'Прил.8 Ведомств.'!H305</f>
        <v>72</v>
      </c>
    </row>
    <row r="359" spans="1:7" ht="30">
      <c r="A359" s="63" t="s">
        <v>506</v>
      </c>
      <c r="B359" s="7" t="s">
        <v>208</v>
      </c>
      <c r="C359" s="7" t="s">
        <v>195</v>
      </c>
      <c r="D359" s="32">
        <v>5058601</v>
      </c>
      <c r="E359" s="9" t="s">
        <v>505</v>
      </c>
      <c r="F359" s="61">
        <v>1</v>
      </c>
      <c r="G359" s="61">
        <f>'Прил.8 Ведомств.'!H306</f>
        <v>0.4</v>
      </c>
    </row>
    <row r="360" spans="1:7" ht="43.5" customHeight="1">
      <c r="A360" s="63" t="s">
        <v>639</v>
      </c>
      <c r="B360" s="7" t="s">
        <v>208</v>
      </c>
      <c r="C360" s="7" t="s">
        <v>195</v>
      </c>
      <c r="D360" s="32">
        <v>5058602</v>
      </c>
      <c r="E360" s="9"/>
      <c r="F360" s="61">
        <f>F361</f>
        <v>65</v>
      </c>
      <c r="G360" s="61">
        <f>G361</f>
        <v>24.3</v>
      </c>
    </row>
    <row r="361" spans="1:7" ht="45">
      <c r="A361" s="63" t="s">
        <v>509</v>
      </c>
      <c r="B361" s="7" t="s">
        <v>208</v>
      </c>
      <c r="C361" s="7" t="s">
        <v>195</v>
      </c>
      <c r="D361" s="32">
        <v>5058602</v>
      </c>
      <c r="E361" s="9" t="s">
        <v>508</v>
      </c>
      <c r="F361" s="61">
        <f>40+25</f>
        <v>65</v>
      </c>
      <c r="G361" s="61">
        <f>'Прил.8 Ведомств.'!H308</f>
        <v>24.3</v>
      </c>
    </row>
    <row r="362" spans="1:7" ht="45">
      <c r="A362" s="63" t="s">
        <v>640</v>
      </c>
      <c r="B362" s="7" t="s">
        <v>208</v>
      </c>
      <c r="C362" s="7" t="s">
        <v>195</v>
      </c>
      <c r="D362" s="32">
        <v>5058603</v>
      </c>
      <c r="E362" s="9"/>
      <c r="F362" s="61">
        <f>F363</f>
        <v>2800</v>
      </c>
      <c r="G362" s="61">
        <f>G363</f>
        <v>1150.8</v>
      </c>
    </row>
    <row r="363" spans="1:7" ht="45">
      <c r="A363" s="63" t="s">
        <v>509</v>
      </c>
      <c r="B363" s="7" t="s">
        <v>208</v>
      </c>
      <c r="C363" s="7" t="s">
        <v>195</v>
      </c>
      <c r="D363" s="69">
        <v>5058603</v>
      </c>
      <c r="E363" s="70" t="s">
        <v>508</v>
      </c>
      <c r="F363" s="61">
        <v>2800</v>
      </c>
      <c r="G363" s="61">
        <f>'Прил.8 Ведомств.'!H310</f>
        <v>1150.8</v>
      </c>
    </row>
    <row r="364" spans="1:7" ht="45">
      <c r="A364" s="63" t="s">
        <v>641</v>
      </c>
      <c r="B364" s="7" t="s">
        <v>208</v>
      </c>
      <c r="C364" s="7" t="s">
        <v>195</v>
      </c>
      <c r="D364" s="69">
        <v>5058604</v>
      </c>
      <c r="E364" s="70"/>
      <c r="F364" s="61">
        <f>F365+F366</f>
        <v>700</v>
      </c>
      <c r="G364" s="61">
        <f>G365+G366</f>
        <v>55.3</v>
      </c>
    </row>
    <row r="365" spans="1:7" ht="45">
      <c r="A365" s="63" t="s">
        <v>509</v>
      </c>
      <c r="B365" s="7" t="s">
        <v>208</v>
      </c>
      <c r="C365" s="7" t="s">
        <v>195</v>
      </c>
      <c r="D365" s="69">
        <v>5058604</v>
      </c>
      <c r="E365" s="70" t="s">
        <v>508</v>
      </c>
      <c r="F365" s="61">
        <v>696</v>
      </c>
      <c r="G365" s="61">
        <f>'Прил.8 Ведомств.'!H312</f>
        <v>55</v>
      </c>
    </row>
    <row r="366" spans="1:7" ht="30">
      <c r="A366" s="63" t="s">
        <v>506</v>
      </c>
      <c r="B366" s="7" t="s">
        <v>208</v>
      </c>
      <c r="C366" s="7" t="s">
        <v>195</v>
      </c>
      <c r="D366" s="32">
        <v>5058604</v>
      </c>
      <c r="E366" s="9" t="s">
        <v>505</v>
      </c>
      <c r="F366" s="61">
        <v>4</v>
      </c>
      <c r="G366" s="61">
        <f>'Прил.8 Ведомств.'!H313</f>
        <v>0.3</v>
      </c>
    </row>
    <row r="367" spans="1:7" ht="45">
      <c r="A367" s="63" t="s">
        <v>425</v>
      </c>
      <c r="B367" s="7" t="s">
        <v>208</v>
      </c>
      <c r="C367" s="7" t="s">
        <v>195</v>
      </c>
      <c r="D367" s="5">
        <v>5058606</v>
      </c>
      <c r="E367" s="7"/>
      <c r="F367" s="61">
        <f>F368+F369</f>
        <v>70</v>
      </c>
      <c r="G367" s="61">
        <f>G368+G369</f>
        <v>12.1</v>
      </c>
    </row>
    <row r="368" spans="1:7" ht="45">
      <c r="A368" s="63" t="s">
        <v>509</v>
      </c>
      <c r="B368" s="7" t="s">
        <v>208</v>
      </c>
      <c r="C368" s="7" t="s">
        <v>195</v>
      </c>
      <c r="D368" s="5">
        <v>5058606</v>
      </c>
      <c r="E368" s="7" t="s">
        <v>508</v>
      </c>
      <c r="F368" s="61">
        <v>69</v>
      </c>
      <c r="G368" s="61">
        <f>'Прил.8 Ведомств.'!H315</f>
        <v>12</v>
      </c>
    </row>
    <row r="369" spans="1:7" ht="30">
      <c r="A369" s="63" t="s">
        <v>506</v>
      </c>
      <c r="B369" s="7" t="s">
        <v>208</v>
      </c>
      <c r="C369" s="7" t="s">
        <v>195</v>
      </c>
      <c r="D369" s="5">
        <v>5058606</v>
      </c>
      <c r="E369" s="7" t="s">
        <v>505</v>
      </c>
      <c r="F369" s="61">
        <v>1</v>
      </c>
      <c r="G369" s="61">
        <f>'Прил.8 Ведомств.'!H316</f>
        <v>0.1</v>
      </c>
    </row>
    <row r="370" spans="1:7" ht="45">
      <c r="A370" s="63" t="s">
        <v>93</v>
      </c>
      <c r="B370" s="7" t="s">
        <v>208</v>
      </c>
      <c r="C370" s="7" t="s">
        <v>195</v>
      </c>
      <c r="D370" s="5">
        <v>5140000</v>
      </c>
      <c r="E370" s="7"/>
      <c r="F370" s="61">
        <f>F371</f>
        <v>3800</v>
      </c>
      <c r="G370" s="61">
        <f>G371</f>
        <v>2046.4</v>
      </c>
    </row>
    <row r="371" spans="1:7" ht="30">
      <c r="A371" s="63" t="s">
        <v>94</v>
      </c>
      <c r="B371" s="7" t="s">
        <v>208</v>
      </c>
      <c r="C371" s="7" t="s">
        <v>195</v>
      </c>
      <c r="D371" s="32">
        <v>5140100</v>
      </c>
      <c r="E371" s="9"/>
      <c r="F371" s="61">
        <f>F372+F374+F376+F378</f>
        <v>3800</v>
      </c>
      <c r="G371" s="61">
        <f>G372+G374+G376+G378</f>
        <v>2046.4</v>
      </c>
    </row>
    <row r="372" spans="1:7" ht="15">
      <c r="A372" s="63" t="s">
        <v>124</v>
      </c>
      <c r="B372" s="7" t="s">
        <v>208</v>
      </c>
      <c r="C372" s="7" t="s">
        <v>195</v>
      </c>
      <c r="D372" s="32">
        <v>5140101</v>
      </c>
      <c r="E372" s="9"/>
      <c r="F372" s="61">
        <f>F373</f>
        <v>1500</v>
      </c>
      <c r="G372" s="61">
        <f>G373</f>
        <v>1362</v>
      </c>
    </row>
    <row r="373" spans="1:7" ht="45">
      <c r="A373" s="63" t="s">
        <v>509</v>
      </c>
      <c r="B373" s="7" t="s">
        <v>208</v>
      </c>
      <c r="C373" s="7" t="s">
        <v>195</v>
      </c>
      <c r="D373" s="32">
        <v>5140101</v>
      </c>
      <c r="E373" s="9" t="s">
        <v>508</v>
      </c>
      <c r="F373" s="61">
        <v>1500</v>
      </c>
      <c r="G373" s="61">
        <f>'Прил.8 Ведомств.'!H320</f>
        <v>1362</v>
      </c>
    </row>
    <row r="374" spans="1:7" ht="30">
      <c r="A374" s="63" t="s">
        <v>642</v>
      </c>
      <c r="B374" s="7" t="s">
        <v>208</v>
      </c>
      <c r="C374" s="7" t="s">
        <v>195</v>
      </c>
      <c r="D374" s="5">
        <v>5140102</v>
      </c>
      <c r="E374" s="9"/>
      <c r="F374" s="61">
        <f>F375</f>
        <v>150</v>
      </c>
      <c r="G374" s="61">
        <f>G375</f>
        <v>25.8</v>
      </c>
    </row>
    <row r="375" spans="1:7" ht="30">
      <c r="A375" s="36" t="s">
        <v>467</v>
      </c>
      <c r="B375" s="7" t="s">
        <v>208</v>
      </c>
      <c r="C375" s="7" t="s">
        <v>195</v>
      </c>
      <c r="D375" s="5">
        <v>5140102</v>
      </c>
      <c r="E375" s="7" t="s">
        <v>466</v>
      </c>
      <c r="F375" s="61">
        <v>150</v>
      </c>
      <c r="G375" s="61">
        <f>'Прил.8 Ведомств.'!H322</f>
        <v>25.8</v>
      </c>
    </row>
    <row r="376" spans="1:7" ht="120">
      <c r="A376" s="68" t="s">
        <v>643</v>
      </c>
      <c r="B376" s="7" t="s">
        <v>208</v>
      </c>
      <c r="C376" s="7" t="s">
        <v>195</v>
      </c>
      <c r="D376" s="5">
        <v>5140103</v>
      </c>
      <c r="E376" s="7"/>
      <c r="F376" s="61">
        <f>F377</f>
        <v>150</v>
      </c>
      <c r="G376" s="61">
        <f>G377</f>
        <v>0</v>
      </c>
    </row>
    <row r="377" spans="1:7" ht="30">
      <c r="A377" s="63" t="s">
        <v>482</v>
      </c>
      <c r="B377" s="7" t="s">
        <v>208</v>
      </c>
      <c r="C377" s="9" t="s">
        <v>195</v>
      </c>
      <c r="D377" s="5">
        <v>5140103</v>
      </c>
      <c r="E377" s="7" t="s">
        <v>481</v>
      </c>
      <c r="F377" s="61">
        <v>150</v>
      </c>
      <c r="G377" s="61">
        <f>'Прил.8 Ведомств.'!H324</f>
        <v>0</v>
      </c>
    </row>
    <row r="378" spans="1:7" ht="60">
      <c r="A378" s="68" t="s">
        <v>644</v>
      </c>
      <c r="B378" s="7" t="s">
        <v>208</v>
      </c>
      <c r="C378" s="7" t="s">
        <v>195</v>
      </c>
      <c r="D378" s="5">
        <v>5140104</v>
      </c>
      <c r="E378" s="7"/>
      <c r="F378" s="61">
        <f>F379</f>
        <v>2000</v>
      </c>
      <c r="G378" s="61">
        <f>G379</f>
        <v>658.6</v>
      </c>
    </row>
    <row r="379" spans="1:7" ht="30">
      <c r="A379" s="63" t="s">
        <v>634</v>
      </c>
      <c r="B379" s="7" t="s">
        <v>208</v>
      </c>
      <c r="C379" s="7" t="s">
        <v>195</v>
      </c>
      <c r="D379" s="5">
        <v>5140104</v>
      </c>
      <c r="E379" s="7" t="s">
        <v>481</v>
      </c>
      <c r="F379" s="61">
        <v>2000</v>
      </c>
      <c r="G379" s="61">
        <f>'Прил.8 Ведомств.'!H326</f>
        <v>658.6</v>
      </c>
    </row>
    <row r="380" spans="1:7" ht="30">
      <c r="A380" s="63" t="s">
        <v>451</v>
      </c>
      <c r="B380" s="7" t="s">
        <v>208</v>
      </c>
      <c r="C380" s="7" t="s">
        <v>195</v>
      </c>
      <c r="D380" s="5">
        <v>5220000</v>
      </c>
      <c r="E380" s="7"/>
      <c r="F380" s="61">
        <f>F381</f>
        <v>15382.399999999998</v>
      </c>
      <c r="G380" s="61">
        <f>G381</f>
        <v>11068.599999999999</v>
      </c>
    </row>
    <row r="381" spans="1:7" ht="30">
      <c r="A381" s="63" t="s">
        <v>645</v>
      </c>
      <c r="B381" s="7" t="s">
        <v>208</v>
      </c>
      <c r="C381" s="7" t="s">
        <v>195</v>
      </c>
      <c r="D381" s="5">
        <v>5221700</v>
      </c>
      <c r="E381" s="7"/>
      <c r="F381" s="61">
        <f>F382</f>
        <v>15382.399999999998</v>
      </c>
      <c r="G381" s="61">
        <f>G382</f>
        <v>11068.599999999999</v>
      </c>
    </row>
    <row r="382" spans="1:7" ht="30">
      <c r="A382" s="63" t="s">
        <v>482</v>
      </c>
      <c r="B382" s="7" t="s">
        <v>208</v>
      </c>
      <c r="C382" s="7" t="s">
        <v>195</v>
      </c>
      <c r="D382" s="5">
        <v>5221700</v>
      </c>
      <c r="E382" s="7" t="s">
        <v>481</v>
      </c>
      <c r="F382" s="61">
        <f>F383+F385</f>
        <v>15382.399999999998</v>
      </c>
      <c r="G382" s="61">
        <f>G383+G385</f>
        <v>11068.599999999999</v>
      </c>
    </row>
    <row r="383" spans="1:7" ht="120">
      <c r="A383" s="63" t="s">
        <v>646</v>
      </c>
      <c r="B383" s="7" t="s">
        <v>208</v>
      </c>
      <c r="C383" s="7" t="s">
        <v>195</v>
      </c>
      <c r="D383" s="5">
        <v>5221702</v>
      </c>
      <c r="E383" s="7"/>
      <c r="F383" s="61">
        <f>F384</f>
        <v>13273.199999999999</v>
      </c>
      <c r="G383" s="61">
        <f>G384</f>
        <v>8959.4</v>
      </c>
    </row>
    <row r="384" spans="1:7" ht="30">
      <c r="A384" s="63" t="s">
        <v>482</v>
      </c>
      <c r="B384" s="7" t="s">
        <v>208</v>
      </c>
      <c r="C384" s="7" t="s">
        <v>195</v>
      </c>
      <c r="D384" s="5">
        <v>5221702</v>
      </c>
      <c r="E384" s="7" t="s">
        <v>481</v>
      </c>
      <c r="F384" s="61">
        <f>12457.9+815.3</f>
        <v>13273.199999999999</v>
      </c>
      <c r="G384" s="61">
        <f>'Прил.8 Ведомств.'!H330</f>
        <v>8959.4</v>
      </c>
    </row>
    <row r="385" spans="1:7" ht="165">
      <c r="A385" s="63" t="s">
        <v>382</v>
      </c>
      <c r="B385" s="7" t="s">
        <v>208</v>
      </c>
      <c r="C385" s="7" t="s">
        <v>195</v>
      </c>
      <c r="D385" s="5">
        <v>5221703</v>
      </c>
      <c r="E385" s="7"/>
      <c r="F385" s="61">
        <f>F386</f>
        <v>2109.2</v>
      </c>
      <c r="G385" s="61">
        <f>G386</f>
        <v>2109.2</v>
      </c>
    </row>
    <row r="386" spans="1:7" ht="30">
      <c r="A386" s="63" t="s">
        <v>482</v>
      </c>
      <c r="B386" s="7" t="s">
        <v>208</v>
      </c>
      <c r="C386" s="7" t="s">
        <v>195</v>
      </c>
      <c r="D386" s="5">
        <v>5221703</v>
      </c>
      <c r="E386" s="7" t="s">
        <v>481</v>
      </c>
      <c r="F386" s="61">
        <v>2109.2</v>
      </c>
      <c r="G386" s="61">
        <f>'Прил.8 Ведомств.'!H332</f>
        <v>2109.2</v>
      </c>
    </row>
    <row r="387" spans="1:7" ht="90" outlineLevel="1">
      <c r="A387" s="63" t="s">
        <v>647</v>
      </c>
      <c r="B387" s="7" t="s">
        <v>208</v>
      </c>
      <c r="C387" s="7" t="s">
        <v>195</v>
      </c>
      <c r="D387" s="5">
        <v>5223400</v>
      </c>
      <c r="E387" s="7"/>
      <c r="F387" s="61">
        <f>F388</f>
        <v>0</v>
      </c>
      <c r="G387" s="61">
        <f>G388</f>
        <v>0</v>
      </c>
    </row>
    <row r="388" spans="1:7" ht="15" outlineLevel="1">
      <c r="A388" s="63" t="s">
        <v>249</v>
      </c>
      <c r="B388" s="7" t="s">
        <v>208</v>
      </c>
      <c r="C388" s="7" t="s">
        <v>195</v>
      </c>
      <c r="D388" s="5">
        <v>5223400</v>
      </c>
      <c r="E388" s="7" t="s">
        <v>90</v>
      </c>
      <c r="F388" s="61">
        <v>0</v>
      </c>
      <c r="G388" s="61">
        <v>0</v>
      </c>
    </row>
    <row r="389" spans="1:7" ht="36.75" customHeight="1">
      <c r="A389" s="36" t="s">
        <v>206</v>
      </c>
      <c r="B389" s="7" t="s">
        <v>208</v>
      </c>
      <c r="C389" s="7" t="s">
        <v>195</v>
      </c>
      <c r="D389" s="5">
        <v>7950000</v>
      </c>
      <c r="E389" s="7"/>
      <c r="F389" s="61">
        <f>F390</f>
        <v>500</v>
      </c>
      <c r="G389" s="61">
        <f>G390</f>
        <v>0</v>
      </c>
    </row>
    <row r="390" spans="1:7" ht="75">
      <c r="A390" s="63" t="s">
        <v>403</v>
      </c>
      <c r="B390" s="7" t="s">
        <v>208</v>
      </c>
      <c r="C390" s="7" t="s">
        <v>195</v>
      </c>
      <c r="D390" s="5">
        <v>7950009</v>
      </c>
      <c r="E390" s="7"/>
      <c r="F390" s="61">
        <f>F391</f>
        <v>500</v>
      </c>
      <c r="G390" s="61">
        <f>G391</f>
        <v>0</v>
      </c>
    </row>
    <row r="391" spans="1:7" ht="30">
      <c r="A391" s="63" t="s">
        <v>482</v>
      </c>
      <c r="B391" s="7" t="s">
        <v>208</v>
      </c>
      <c r="C391" s="7" t="s">
        <v>195</v>
      </c>
      <c r="D391" s="5">
        <v>7950009</v>
      </c>
      <c r="E391" s="7" t="s">
        <v>481</v>
      </c>
      <c r="F391" s="61">
        <v>500</v>
      </c>
      <c r="G391" s="61">
        <f>'Прил.8 Ведомств.'!H337</f>
        <v>0</v>
      </c>
    </row>
    <row r="392" spans="1:7" ht="15.75">
      <c r="A392" s="57" t="s">
        <v>7</v>
      </c>
      <c r="B392" s="6" t="s">
        <v>198</v>
      </c>
      <c r="C392" s="6" t="s">
        <v>194</v>
      </c>
      <c r="D392" s="6"/>
      <c r="E392" s="6"/>
      <c r="F392" s="59">
        <f>F393+F399</f>
        <v>22328.4</v>
      </c>
      <c r="G392" s="59">
        <f>G393+G399</f>
        <v>9751.6</v>
      </c>
    </row>
    <row r="393" spans="1:7" ht="15.75">
      <c r="A393" s="60" t="s">
        <v>648</v>
      </c>
      <c r="B393" s="7" t="s">
        <v>198</v>
      </c>
      <c r="C393" s="7" t="s">
        <v>193</v>
      </c>
      <c r="D393" s="7"/>
      <c r="E393" s="7"/>
      <c r="F393" s="61">
        <f aca="true" t="shared" si="4" ref="F393:G395">F394</f>
        <v>18728.4</v>
      </c>
      <c r="G393" s="61">
        <f t="shared" si="4"/>
        <v>8340</v>
      </c>
    </row>
    <row r="394" spans="1:7" ht="30">
      <c r="A394" s="36" t="s">
        <v>649</v>
      </c>
      <c r="B394" s="7" t="s">
        <v>198</v>
      </c>
      <c r="C394" s="7" t="s">
        <v>193</v>
      </c>
      <c r="D394" s="7" t="s">
        <v>82</v>
      </c>
      <c r="E394" s="7"/>
      <c r="F394" s="61">
        <f t="shared" si="4"/>
        <v>18728.4</v>
      </c>
      <c r="G394" s="61">
        <f t="shared" si="4"/>
        <v>8340</v>
      </c>
    </row>
    <row r="395" spans="1:7" ht="30">
      <c r="A395" s="36" t="s">
        <v>76</v>
      </c>
      <c r="B395" s="7" t="s">
        <v>198</v>
      </c>
      <c r="C395" s="7" t="s">
        <v>193</v>
      </c>
      <c r="D395" s="7" t="s">
        <v>83</v>
      </c>
      <c r="E395" s="7"/>
      <c r="F395" s="61">
        <f t="shared" si="4"/>
        <v>18728.4</v>
      </c>
      <c r="G395" s="61">
        <f t="shared" si="4"/>
        <v>8340</v>
      </c>
    </row>
    <row r="396" spans="1:7" ht="30">
      <c r="A396" s="36" t="s">
        <v>187</v>
      </c>
      <c r="B396" s="7" t="s">
        <v>198</v>
      </c>
      <c r="C396" s="7" t="s">
        <v>193</v>
      </c>
      <c r="D396" s="7" t="s">
        <v>83</v>
      </c>
      <c r="E396" s="7" t="s">
        <v>490</v>
      </c>
      <c r="F396" s="61">
        <f>F397+F398</f>
        <v>18728.4</v>
      </c>
      <c r="G396" s="61">
        <f>G397+G398</f>
        <v>8340</v>
      </c>
    </row>
    <row r="397" spans="1:7" ht="59.25" customHeight="1">
      <c r="A397" s="36" t="s">
        <v>568</v>
      </c>
      <c r="B397" s="7" t="s">
        <v>198</v>
      </c>
      <c r="C397" s="7" t="s">
        <v>193</v>
      </c>
      <c r="D397" s="7" t="s">
        <v>250</v>
      </c>
      <c r="E397" s="7" t="s">
        <v>491</v>
      </c>
      <c r="F397" s="61">
        <v>17228.4</v>
      </c>
      <c r="G397" s="61">
        <f>'Прил.8 Ведомств.'!H408</f>
        <v>8300</v>
      </c>
    </row>
    <row r="398" spans="1:7" ht="30">
      <c r="A398" s="36" t="s">
        <v>489</v>
      </c>
      <c r="B398" s="7" t="s">
        <v>198</v>
      </c>
      <c r="C398" s="7" t="s">
        <v>193</v>
      </c>
      <c r="D398" s="7" t="s">
        <v>251</v>
      </c>
      <c r="E398" s="7" t="s">
        <v>488</v>
      </c>
      <c r="F398" s="61">
        <v>1500</v>
      </c>
      <c r="G398" s="61">
        <f>'Прил.8 Ведомств.'!H409</f>
        <v>40</v>
      </c>
    </row>
    <row r="399" spans="1:7" ht="15.75">
      <c r="A399" s="60" t="s">
        <v>138</v>
      </c>
      <c r="B399" s="7" t="s">
        <v>198</v>
      </c>
      <c r="C399" s="7" t="s">
        <v>214</v>
      </c>
      <c r="D399" s="7"/>
      <c r="E399" s="7"/>
      <c r="F399" s="61">
        <f>F400+F403</f>
        <v>3600</v>
      </c>
      <c r="G399" s="61">
        <f>G400+G403</f>
        <v>1411.6</v>
      </c>
    </row>
    <row r="400" spans="1:7" ht="45" outlineLevel="1">
      <c r="A400" s="36" t="s">
        <v>125</v>
      </c>
      <c r="B400" s="7" t="s">
        <v>198</v>
      </c>
      <c r="C400" s="7" t="s">
        <v>214</v>
      </c>
      <c r="D400" s="7" t="s">
        <v>49</v>
      </c>
      <c r="E400" s="7"/>
      <c r="F400" s="61">
        <f>F401</f>
        <v>0</v>
      </c>
      <c r="G400" s="61">
        <f>G401</f>
        <v>0</v>
      </c>
    </row>
    <row r="401" spans="1:7" ht="60" outlineLevel="1">
      <c r="A401" s="36" t="s">
        <v>59</v>
      </c>
      <c r="B401" s="7" t="s">
        <v>198</v>
      </c>
      <c r="C401" s="7" t="s">
        <v>214</v>
      </c>
      <c r="D401" s="7" t="s">
        <v>31</v>
      </c>
      <c r="E401" s="7"/>
      <c r="F401" s="61">
        <f>F402</f>
        <v>0</v>
      </c>
      <c r="G401" s="61">
        <f>G402</f>
        <v>0</v>
      </c>
    </row>
    <row r="402" spans="1:7" ht="15" outlineLevel="1">
      <c r="A402" s="36" t="s">
        <v>53</v>
      </c>
      <c r="B402" s="7" t="s">
        <v>198</v>
      </c>
      <c r="C402" s="7" t="s">
        <v>214</v>
      </c>
      <c r="D402" s="7" t="s">
        <v>31</v>
      </c>
      <c r="E402" s="7" t="s">
        <v>32</v>
      </c>
      <c r="F402" s="61">
        <v>0</v>
      </c>
      <c r="G402" s="61">
        <v>0</v>
      </c>
    </row>
    <row r="403" spans="1:7" ht="30">
      <c r="A403" s="36" t="s">
        <v>86</v>
      </c>
      <c r="B403" s="7" t="s">
        <v>198</v>
      </c>
      <c r="C403" s="7" t="s">
        <v>214</v>
      </c>
      <c r="D403" s="7" t="s">
        <v>87</v>
      </c>
      <c r="E403" s="7"/>
      <c r="F403" s="61">
        <f>F404</f>
        <v>3600</v>
      </c>
      <c r="G403" s="61">
        <f>G404</f>
        <v>1411.6</v>
      </c>
    </row>
    <row r="404" spans="1:7" ht="45">
      <c r="A404" s="36" t="s">
        <v>89</v>
      </c>
      <c r="B404" s="7" t="s">
        <v>198</v>
      </c>
      <c r="C404" s="7" t="s">
        <v>214</v>
      </c>
      <c r="D404" s="7" t="s">
        <v>88</v>
      </c>
      <c r="E404" s="7"/>
      <c r="F404" s="61">
        <f>F405+F406</f>
        <v>3600</v>
      </c>
      <c r="G404" s="61">
        <f>G405+G406</f>
        <v>1411.6</v>
      </c>
    </row>
    <row r="405" spans="1:7" ht="30">
      <c r="A405" s="36" t="s">
        <v>467</v>
      </c>
      <c r="B405" s="7" t="s">
        <v>198</v>
      </c>
      <c r="C405" s="7" t="s">
        <v>214</v>
      </c>
      <c r="D405" s="7" t="s">
        <v>88</v>
      </c>
      <c r="E405" s="7" t="s">
        <v>466</v>
      </c>
      <c r="F405" s="61">
        <f>2900+100</f>
        <v>3000</v>
      </c>
      <c r="G405" s="61">
        <f>'Прил.8 Ведомств.'!H345</f>
        <v>1176.1</v>
      </c>
    </row>
    <row r="406" spans="1:7" ht="60">
      <c r="A406" s="36" t="s">
        <v>520</v>
      </c>
      <c r="B406" s="7" t="s">
        <v>198</v>
      </c>
      <c r="C406" s="7" t="s">
        <v>214</v>
      </c>
      <c r="D406" s="7" t="s">
        <v>88</v>
      </c>
      <c r="E406" s="7" t="s">
        <v>479</v>
      </c>
      <c r="F406" s="61">
        <v>600</v>
      </c>
      <c r="G406" s="61">
        <f>'Прил.8 Ведомств.'!H346</f>
        <v>235.5</v>
      </c>
    </row>
    <row r="407" spans="1:7" ht="31.5">
      <c r="A407" s="71" t="s">
        <v>134</v>
      </c>
      <c r="B407" s="3">
        <v>12</v>
      </c>
      <c r="C407" s="6" t="s">
        <v>194</v>
      </c>
      <c r="D407" s="3"/>
      <c r="E407" s="6"/>
      <c r="F407" s="59">
        <f>F408+F412</f>
        <v>1360</v>
      </c>
      <c r="G407" s="59">
        <f>G408+G412</f>
        <v>728.1</v>
      </c>
    </row>
    <row r="408" spans="1:7" ht="15.75">
      <c r="A408" s="60" t="s">
        <v>139</v>
      </c>
      <c r="B408" s="5">
        <v>12</v>
      </c>
      <c r="C408" s="7" t="s">
        <v>193</v>
      </c>
      <c r="D408" s="7"/>
      <c r="E408" s="7"/>
      <c r="F408" s="61">
        <f>F411</f>
        <v>660</v>
      </c>
      <c r="G408" s="61">
        <f>G409</f>
        <v>238.4</v>
      </c>
    </row>
    <row r="409" spans="1:7" ht="30">
      <c r="A409" s="36" t="s">
        <v>650</v>
      </c>
      <c r="B409" s="5">
        <v>12</v>
      </c>
      <c r="C409" s="7" t="s">
        <v>193</v>
      </c>
      <c r="D409" s="7" t="s">
        <v>98</v>
      </c>
      <c r="E409" s="7"/>
      <c r="F409" s="61">
        <v>660</v>
      </c>
      <c r="G409" s="61">
        <f>G410</f>
        <v>238.4</v>
      </c>
    </row>
    <row r="410" spans="1:7" ht="30">
      <c r="A410" s="36" t="s">
        <v>176</v>
      </c>
      <c r="B410" s="5">
        <v>12</v>
      </c>
      <c r="C410" s="7" t="s">
        <v>193</v>
      </c>
      <c r="D410" s="7" t="s">
        <v>177</v>
      </c>
      <c r="E410" s="7"/>
      <c r="F410" s="61">
        <v>660</v>
      </c>
      <c r="G410" s="61">
        <f>G411</f>
        <v>238.4</v>
      </c>
    </row>
    <row r="411" spans="1:7" ht="30">
      <c r="A411" s="36" t="s">
        <v>467</v>
      </c>
      <c r="B411" s="5">
        <v>12</v>
      </c>
      <c r="C411" s="7" t="s">
        <v>193</v>
      </c>
      <c r="D411" s="7" t="s">
        <v>177</v>
      </c>
      <c r="E411" s="7" t="s">
        <v>466</v>
      </c>
      <c r="F411" s="61">
        <v>660</v>
      </c>
      <c r="G411" s="61">
        <f>'Прил.8 Ведомств.'!H351</f>
        <v>238.4</v>
      </c>
    </row>
    <row r="412" spans="1:7" ht="31.5">
      <c r="A412" s="60" t="s">
        <v>140</v>
      </c>
      <c r="B412" s="5">
        <v>12</v>
      </c>
      <c r="C412" s="7" t="s">
        <v>214</v>
      </c>
      <c r="D412" s="7"/>
      <c r="E412" s="7"/>
      <c r="F412" s="61">
        <f>F413</f>
        <v>700</v>
      </c>
      <c r="G412" s="61">
        <f>G413</f>
        <v>489.7</v>
      </c>
    </row>
    <row r="413" spans="1:7" ht="75">
      <c r="A413" s="36" t="s">
        <v>651</v>
      </c>
      <c r="B413" s="5">
        <v>12</v>
      </c>
      <c r="C413" s="7" t="s">
        <v>214</v>
      </c>
      <c r="D413" s="7" t="s">
        <v>110</v>
      </c>
      <c r="E413" s="7"/>
      <c r="F413" s="61">
        <f>F414</f>
        <v>700</v>
      </c>
      <c r="G413" s="61">
        <f>G414</f>
        <v>489.7</v>
      </c>
    </row>
    <row r="414" spans="1:7" ht="75">
      <c r="A414" s="36" t="s">
        <v>547</v>
      </c>
      <c r="B414" s="5">
        <v>12</v>
      </c>
      <c r="C414" s="7" t="s">
        <v>214</v>
      </c>
      <c r="D414" s="7" t="s">
        <v>110</v>
      </c>
      <c r="E414" s="7" t="s">
        <v>496</v>
      </c>
      <c r="F414" s="61">
        <v>700</v>
      </c>
      <c r="G414" s="61">
        <f>'Прил.8 Ведомств.'!H354</f>
        <v>489.7</v>
      </c>
    </row>
    <row r="415" spans="1:7" ht="47.25">
      <c r="A415" s="71" t="s">
        <v>36</v>
      </c>
      <c r="B415" s="3">
        <v>13</v>
      </c>
      <c r="C415" s="6" t="s">
        <v>194</v>
      </c>
      <c r="D415" s="3"/>
      <c r="E415" s="6"/>
      <c r="F415" s="59">
        <v>350</v>
      </c>
      <c r="G415" s="59">
        <f>G416</f>
        <v>0</v>
      </c>
    </row>
    <row r="416" spans="1:7" ht="47.25">
      <c r="A416" s="60" t="s">
        <v>652</v>
      </c>
      <c r="B416" s="7" t="s">
        <v>199</v>
      </c>
      <c r="C416" s="7" t="s">
        <v>193</v>
      </c>
      <c r="D416" s="7"/>
      <c r="E416" s="7"/>
      <c r="F416" s="61">
        <v>350</v>
      </c>
      <c r="G416" s="61">
        <f>G417</f>
        <v>0</v>
      </c>
    </row>
    <row r="417" spans="1:7" ht="30">
      <c r="A417" s="36" t="s">
        <v>37</v>
      </c>
      <c r="B417" s="7" t="s">
        <v>199</v>
      </c>
      <c r="C417" s="7" t="s">
        <v>193</v>
      </c>
      <c r="D417" s="7" t="s">
        <v>38</v>
      </c>
      <c r="E417" s="7"/>
      <c r="F417" s="61">
        <v>350</v>
      </c>
      <c r="G417" s="61">
        <f>G418</f>
        <v>0</v>
      </c>
    </row>
    <row r="418" spans="1:7" ht="30">
      <c r="A418" s="36" t="s">
        <v>653</v>
      </c>
      <c r="B418" s="7" t="s">
        <v>199</v>
      </c>
      <c r="C418" s="7" t="s">
        <v>193</v>
      </c>
      <c r="D418" s="7" t="s">
        <v>39</v>
      </c>
      <c r="E418" s="7"/>
      <c r="F418" s="61">
        <v>350</v>
      </c>
      <c r="G418" s="61">
        <f>G419</f>
        <v>0</v>
      </c>
    </row>
    <row r="419" spans="1:7" ht="30">
      <c r="A419" s="36" t="s">
        <v>512</v>
      </c>
      <c r="B419" s="7" t="s">
        <v>199</v>
      </c>
      <c r="C419" s="7" t="s">
        <v>193</v>
      </c>
      <c r="D419" s="7" t="s">
        <v>39</v>
      </c>
      <c r="E419" s="7" t="s">
        <v>511</v>
      </c>
      <c r="F419" s="61">
        <v>350</v>
      </c>
      <c r="G419" s="61">
        <f>'Прил.8 Ведомств.'!H414</f>
        <v>0</v>
      </c>
    </row>
    <row r="420" spans="1:7" ht="16.5" thickBot="1">
      <c r="A420" s="72" t="s">
        <v>654</v>
      </c>
      <c r="B420" s="73"/>
      <c r="C420" s="73"/>
      <c r="D420" s="73"/>
      <c r="E420" s="74"/>
      <c r="F420" s="75">
        <f>F12+F100+F113+F157+F238+F255+F333+F392+F407+F415</f>
        <v>834968.3</v>
      </c>
      <c r="G420" s="75">
        <f>G12+G100+G113+G157+G238+G255+G333+G392+G407+G415</f>
        <v>202953</v>
      </c>
    </row>
  </sheetData>
  <autoFilter ref="A11:H420"/>
  <mergeCells count="9">
    <mergeCell ref="B4:G4"/>
    <mergeCell ref="B1:G1"/>
    <mergeCell ref="B2:G2"/>
    <mergeCell ref="A3:G3"/>
    <mergeCell ref="A9:G9"/>
    <mergeCell ref="B5:G5"/>
    <mergeCell ref="B6:G6"/>
    <mergeCell ref="A7:G7"/>
    <mergeCell ref="B8:G8"/>
  </mergeCells>
  <printOptions/>
  <pageMargins left="0.2755905511811024" right="0.1968503937007874" top="0.31496062992125984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3"/>
  <sheetViews>
    <sheetView tabSelected="1" workbookViewId="0" topLeftCell="A1">
      <selection activeCell="C5" sqref="C5:H5"/>
    </sheetView>
  </sheetViews>
  <sheetFormatPr defaultColWidth="9.00390625" defaultRowHeight="12.75" outlineLevelRow="2"/>
  <cols>
    <col min="1" max="1" width="39.875" style="1" customWidth="1"/>
    <col min="2" max="2" width="7.75390625" style="1" customWidth="1"/>
    <col min="3" max="4" width="6.875" style="47" customWidth="1"/>
    <col min="5" max="5" width="8.00390625" style="47" customWidth="1"/>
    <col min="6" max="6" width="6.875" style="47" customWidth="1"/>
    <col min="7" max="7" width="10.375" style="47" customWidth="1"/>
    <col min="8" max="8" width="11.00390625" style="0" customWidth="1"/>
  </cols>
  <sheetData>
    <row r="1" spans="1:8" ht="15.75">
      <c r="A1" s="90"/>
      <c r="B1" s="90"/>
      <c r="C1" s="92" t="s">
        <v>259</v>
      </c>
      <c r="D1" s="92"/>
      <c r="E1" s="92"/>
      <c r="F1" s="92"/>
      <c r="G1" s="92"/>
      <c r="H1" s="92"/>
    </row>
    <row r="2" spans="1:8" ht="15.75">
      <c r="A2" s="109" t="s">
        <v>411</v>
      </c>
      <c r="B2" s="109"/>
      <c r="C2" s="109"/>
      <c r="D2" s="109"/>
      <c r="E2" s="109"/>
      <c r="F2" s="109"/>
      <c r="G2" s="109"/>
      <c r="H2" s="109"/>
    </row>
    <row r="3" spans="1:8" ht="15.75">
      <c r="A3" s="91" t="s">
        <v>533</v>
      </c>
      <c r="B3" s="91"/>
      <c r="C3" s="91"/>
      <c r="D3" s="91"/>
      <c r="E3" s="91"/>
      <c r="F3" s="91"/>
      <c r="G3" s="91"/>
      <c r="H3" s="91"/>
    </row>
    <row r="4" spans="1:8" ht="15.75">
      <c r="A4" s="90"/>
      <c r="B4" s="90"/>
      <c r="C4" s="91" t="s">
        <v>85</v>
      </c>
      <c r="D4" s="91"/>
      <c r="E4" s="91"/>
      <c r="F4" s="91"/>
      <c r="G4" s="91"/>
      <c r="H4" s="91"/>
    </row>
    <row r="5" spans="1:8" ht="15.75">
      <c r="A5" s="90"/>
      <c r="B5" s="90"/>
      <c r="C5" s="92" t="s">
        <v>402</v>
      </c>
      <c r="D5" s="92"/>
      <c r="E5" s="92"/>
      <c r="F5" s="92"/>
      <c r="G5" s="92"/>
      <c r="H5" s="92"/>
    </row>
    <row r="6" spans="1:8" ht="15.75" customHeight="1">
      <c r="A6" s="109" t="s">
        <v>411</v>
      </c>
      <c r="B6" s="109"/>
      <c r="C6" s="109"/>
      <c r="D6" s="109"/>
      <c r="E6" s="109"/>
      <c r="F6" s="109"/>
      <c r="G6" s="109"/>
      <c r="H6" s="109"/>
    </row>
    <row r="7" spans="1:8" ht="15.75">
      <c r="A7" s="91" t="s">
        <v>260</v>
      </c>
      <c r="B7" s="91"/>
      <c r="C7" s="91"/>
      <c r="D7" s="91"/>
      <c r="E7" s="91"/>
      <c r="F7" s="91"/>
      <c r="G7" s="91"/>
      <c r="H7" s="91"/>
    </row>
    <row r="8" spans="1:8" ht="16.5" customHeight="1">
      <c r="A8" s="90"/>
      <c r="B8" s="90"/>
      <c r="C8" s="91" t="s">
        <v>261</v>
      </c>
      <c r="D8" s="91"/>
      <c r="E8" s="91"/>
      <c r="F8" s="91"/>
      <c r="G8" s="91"/>
      <c r="H8" s="91"/>
    </row>
    <row r="9" spans="1:8" ht="33.75" customHeight="1">
      <c r="A9" s="110" t="s">
        <v>401</v>
      </c>
      <c r="B9" s="110"/>
      <c r="C9" s="110"/>
      <c r="D9" s="110"/>
      <c r="E9" s="110"/>
      <c r="F9" s="110"/>
      <c r="G9" s="110"/>
      <c r="H9" s="110"/>
    </row>
    <row r="10" spans="1:7" ht="19.5" customHeight="1" hidden="1">
      <c r="A10" s="108"/>
      <c r="B10" s="108"/>
      <c r="C10" s="108"/>
      <c r="D10" s="108"/>
      <c r="E10" s="108"/>
      <c r="F10" s="108"/>
      <c r="G10" s="108"/>
    </row>
    <row r="11" spans="1:7" ht="14.25" customHeight="1">
      <c r="A11" s="38"/>
      <c r="B11" s="38"/>
      <c r="C11" s="38"/>
      <c r="D11" s="38"/>
      <c r="E11" s="38"/>
      <c r="F11" s="38"/>
      <c r="G11" s="39" t="s">
        <v>391</v>
      </c>
    </row>
    <row r="12" spans="1:8" ht="71.25" customHeight="1">
      <c r="A12" s="24" t="s">
        <v>0</v>
      </c>
      <c r="B12" s="24" t="s">
        <v>269</v>
      </c>
      <c r="C12" s="25" t="s">
        <v>95</v>
      </c>
      <c r="D12" s="25" t="s">
        <v>161</v>
      </c>
      <c r="E12" s="25" t="s">
        <v>160</v>
      </c>
      <c r="F12" s="25" t="s">
        <v>392</v>
      </c>
      <c r="G12" s="25" t="s">
        <v>365</v>
      </c>
      <c r="H12" s="25" t="s">
        <v>534</v>
      </c>
    </row>
    <row r="13" spans="1:8" ht="12.7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8" ht="54" customHeight="1">
      <c r="A14" s="34" t="s">
        <v>270</v>
      </c>
      <c r="B14" s="26" t="s">
        <v>271</v>
      </c>
      <c r="C14" s="27"/>
      <c r="D14" s="27"/>
      <c r="E14" s="27"/>
      <c r="F14" s="27"/>
      <c r="G14" s="16">
        <f>G15+G38+G33</f>
        <v>11770.6</v>
      </c>
      <c r="H14" s="16">
        <f>H15+H38+H33</f>
        <v>3809.5000000000005</v>
      </c>
    </row>
    <row r="15" spans="1:8" ht="16.5" customHeight="1" outlineLevel="1">
      <c r="A15" s="17" t="s">
        <v>1</v>
      </c>
      <c r="B15" s="28" t="s">
        <v>271</v>
      </c>
      <c r="C15" s="28" t="s">
        <v>193</v>
      </c>
      <c r="D15" s="28" t="s">
        <v>194</v>
      </c>
      <c r="E15" s="12"/>
      <c r="F15" s="12"/>
      <c r="G15" s="4">
        <f>G16</f>
        <v>9455.6</v>
      </c>
      <c r="H15" s="4">
        <f>H16</f>
        <v>3563.9000000000005</v>
      </c>
    </row>
    <row r="16" spans="1:8" ht="15.75" customHeight="1" outlineLevel="1">
      <c r="A16" s="18" t="s">
        <v>9</v>
      </c>
      <c r="B16" s="14" t="s">
        <v>271</v>
      </c>
      <c r="C16" s="7" t="s">
        <v>193</v>
      </c>
      <c r="D16" s="7" t="s">
        <v>199</v>
      </c>
      <c r="E16" s="7"/>
      <c r="F16" s="7"/>
      <c r="G16" s="8">
        <f>G17+G29</f>
        <v>9455.6</v>
      </c>
      <c r="H16" s="8">
        <f>H17+H29</f>
        <v>3563.9000000000005</v>
      </c>
    </row>
    <row r="17" spans="1:8" ht="73.5" customHeight="1" outlineLevel="1">
      <c r="A17" s="15" t="s">
        <v>190</v>
      </c>
      <c r="B17" s="14" t="s">
        <v>271</v>
      </c>
      <c r="C17" s="7" t="s">
        <v>193</v>
      </c>
      <c r="D17" s="7" t="s">
        <v>199</v>
      </c>
      <c r="E17" s="7" t="s">
        <v>18</v>
      </c>
      <c r="F17" s="7"/>
      <c r="G17" s="8">
        <f>G18</f>
        <v>7510.6</v>
      </c>
      <c r="H17" s="8">
        <f>H18</f>
        <v>2897.2000000000003</v>
      </c>
    </row>
    <row r="18" spans="1:8" ht="16.5" customHeight="1" outlineLevel="1">
      <c r="A18" s="15" t="s">
        <v>526</v>
      </c>
      <c r="B18" s="14" t="s">
        <v>271</v>
      </c>
      <c r="C18" s="7" t="s">
        <v>193</v>
      </c>
      <c r="D18" s="7" t="s">
        <v>199</v>
      </c>
      <c r="E18" s="7" t="s">
        <v>15</v>
      </c>
      <c r="F18" s="7"/>
      <c r="G18" s="8">
        <f>G19+G24+G27</f>
        <v>7510.6</v>
      </c>
      <c r="H18" s="8">
        <f>H19+H24+H27</f>
        <v>2897.2000000000003</v>
      </c>
    </row>
    <row r="19" spans="1:8" ht="29.25" customHeight="1" outlineLevel="1">
      <c r="A19" s="15" t="s">
        <v>527</v>
      </c>
      <c r="B19" s="14" t="s">
        <v>271</v>
      </c>
      <c r="C19" s="7" t="s">
        <v>193</v>
      </c>
      <c r="D19" s="7" t="s">
        <v>199</v>
      </c>
      <c r="E19" s="7" t="s">
        <v>191</v>
      </c>
      <c r="F19" s="7"/>
      <c r="G19" s="8">
        <f>G20+G21+G22+G23</f>
        <v>6908.8</v>
      </c>
      <c r="H19" s="8">
        <f>H20+H21+H22+H23</f>
        <v>2623.2000000000003</v>
      </c>
    </row>
    <row r="20" spans="1:8" ht="15" customHeight="1" outlineLevel="1">
      <c r="A20" s="15" t="s">
        <v>468</v>
      </c>
      <c r="B20" s="14" t="s">
        <v>271</v>
      </c>
      <c r="C20" s="7" t="s">
        <v>193</v>
      </c>
      <c r="D20" s="7" t="s">
        <v>199</v>
      </c>
      <c r="E20" s="7" t="s">
        <v>191</v>
      </c>
      <c r="F20" s="7" t="s">
        <v>470</v>
      </c>
      <c r="G20" s="8">
        <v>5894.4</v>
      </c>
      <c r="H20" s="8">
        <f>2374.3</f>
        <v>2374.3</v>
      </c>
    </row>
    <row r="21" spans="1:8" ht="32.25" customHeight="1" outlineLevel="1">
      <c r="A21" s="15" t="s">
        <v>469</v>
      </c>
      <c r="B21" s="14" t="s">
        <v>271</v>
      </c>
      <c r="C21" s="7" t="s">
        <v>193</v>
      </c>
      <c r="D21" s="7" t="s">
        <v>199</v>
      </c>
      <c r="E21" s="7" t="s">
        <v>191</v>
      </c>
      <c r="F21" s="7" t="s">
        <v>471</v>
      </c>
      <c r="G21" s="8">
        <v>25.6</v>
      </c>
      <c r="H21" s="8">
        <f>12.5</f>
        <v>12.5</v>
      </c>
    </row>
    <row r="22" spans="1:8" ht="42.75" customHeight="1" outlineLevel="1">
      <c r="A22" s="15" t="s">
        <v>484</v>
      </c>
      <c r="B22" s="14" t="s">
        <v>271</v>
      </c>
      <c r="C22" s="7" t="s">
        <v>193</v>
      </c>
      <c r="D22" s="7" t="s">
        <v>199</v>
      </c>
      <c r="E22" s="7" t="s">
        <v>191</v>
      </c>
      <c r="F22" s="7" t="s">
        <v>483</v>
      </c>
      <c r="G22" s="8">
        <v>185.6</v>
      </c>
      <c r="H22" s="8">
        <f>76.5</f>
        <v>76.5</v>
      </c>
    </row>
    <row r="23" spans="1:8" ht="30.75" customHeight="1" outlineLevel="1">
      <c r="A23" s="15" t="s">
        <v>467</v>
      </c>
      <c r="B23" s="14" t="s">
        <v>271</v>
      </c>
      <c r="C23" s="7" t="s">
        <v>193</v>
      </c>
      <c r="D23" s="7" t="s">
        <v>199</v>
      </c>
      <c r="E23" s="7" t="s">
        <v>191</v>
      </c>
      <c r="F23" s="7" t="s">
        <v>466</v>
      </c>
      <c r="G23" s="8">
        <f>798.2+5</f>
        <v>803.2</v>
      </c>
      <c r="H23" s="8">
        <f>159.9</f>
        <v>159.9</v>
      </c>
    </row>
    <row r="24" spans="1:8" ht="30" customHeight="1" outlineLevel="1">
      <c r="A24" s="15" t="s">
        <v>528</v>
      </c>
      <c r="B24" s="14" t="s">
        <v>271</v>
      </c>
      <c r="C24" s="7" t="s">
        <v>193</v>
      </c>
      <c r="D24" s="7" t="s">
        <v>199</v>
      </c>
      <c r="E24" s="7" t="s">
        <v>96</v>
      </c>
      <c r="F24" s="7"/>
      <c r="G24" s="8">
        <f>G25+G26</f>
        <v>450.5</v>
      </c>
      <c r="H24" s="8">
        <f>H25+H26</f>
        <v>201.89999999999998</v>
      </c>
    </row>
    <row r="25" spans="1:8" ht="17.25" customHeight="1" outlineLevel="1">
      <c r="A25" s="15" t="s">
        <v>468</v>
      </c>
      <c r="B25" s="14" t="s">
        <v>271</v>
      </c>
      <c r="C25" s="7" t="s">
        <v>193</v>
      </c>
      <c r="D25" s="7" t="s">
        <v>199</v>
      </c>
      <c r="E25" s="7" t="s">
        <v>96</v>
      </c>
      <c r="F25" s="7" t="s">
        <v>470</v>
      </c>
      <c r="G25" s="8">
        <v>449.9</v>
      </c>
      <c r="H25" s="8">
        <f>201.7</f>
        <v>201.7</v>
      </c>
    </row>
    <row r="26" spans="1:8" ht="28.5" customHeight="1" outlineLevel="1">
      <c r="A26" s="15" t="s">
        <v>469</v>
      </c>
      <c r="B26" s="14" t="s">
        <v>271</v>
      </c>
      <c r="C26" s="7" t="s">
        <v>193</v>
      </c>
      <c r="D26" s="7" t="s">
        <v>199</v>
      </c>
      <c r="E26" s="7" t="s">
        <v>96</v>
      </c>
      <c r="F26" s="7" t="s">
        <v>471</v>
      </c>
      <c r="G26" s="8">
        <v>0.6</v>
      </c>
      <c r="H26" s="8">
        <f>0.2</f>
        <v>0.2</v>
      </c>
    </row>
    <row r="27" spans="1:8" ht="33" customHeight="1" outlineLevel="1">
      <c r="A27" s="15" t="s">
        <v>201</v>
      </c>
      <c r="B27" s="14" t="s">
        <v>271</v>
      </c>
      <c r="C27" s="7" t="s">
        <v>193</v>
      </c>
      <c r="D27" s="7" t="s">
        <v>199</v>
      </c>
      <c r="E27" s="7" t="s">
        <v>115</v>
      </c>
      <c r="F27" s="7"/>
      <c r="G27" s="8">
        <v>151.3</v>
      </c>
      <c r="H27" s="8">
        <f>H28</f>
        <v>72.1</v>
      </c>
    </row>
    <row r="28" spans="1:8" ht="18.75" customHeight="1" outlineLevel="1">
      <c r="A28" s="15" t="s">
        <v>468</v>
      </c>
      <c r="B28" s="14" t="s">
        <v>271</v>
      </c>
      <c r="C28" s="7" t="s">
        <v>193</v>
      </c>
      <c r="D28" s="7" t="s">
        <v>199</v>
      </c>
      <c r="E28" s="7" t="s">
        <v>115</v>
      </c>
      <c r="F28" s="7" t="s">
        <v>470</v>
      </c>
      <c r="G28" s="8">
        <v>151.3</v>
      </c>
      <c r="H28" s="8">
        <f>72.1</f>
        <v>72.1</v>
      </c>
    </row>
    <row r="29" spans="1:8" ht="60" customHeight="1" outlineLevel="1">
      <c r="A29" s="15" t="s">
        <v>21</v>
      </c>
      <c r="B29" s="14" t="s">
        <v>271</v>
      </c>
      <c r="C29" s="7" t="s">
        <v>193</v>
      </c>
      <c r="D29" s="7" t="s">
        <v>199</v>
      </c>
      <c r="E29" s="7" t="s">
        <v>22</v>
      </c>
      <c r="F29" s="7"/>
      <c r="G29" s="8">
        <f>G30</f>
        <v>1945</v>
      </c>
      <c r="H29" s="8">
        <f>H30</f>
        <v>666.7</v>
      </c>
    </row>
    <row r="30" spans="1:8" ht="57" customHeight="1" outlineLevel="1">
      <c r="A30" s="15" t="s">
        <v>23</v>
      </c>
      <c r="B30" s="14" t="s">
        <v>271</v>
      </c>
      <c r="C30" s="7" t="s">
        <v>193</v>
      </c>
      <c r="D30" s="7" t="s">
        <v>199</v>
      </c>
      <c r="E30" s="7" t="s">
        <v>24</v>
      </c>
      <c r="F30" s="7"/>
      <c r="G30" s="8">
        <f>G31+G32</f>
        <v>1945</v>
      </c>
      <c r="H30" s="8">
        <f>H31+H32</f>
        <v>666.7</v>
      </c>
    </row>
    <row r="31" spans="1:8" ht="30.75" customHeight="1" outlineLevel="1">
      <c r="A31" s="15" t="s">
        <v>467</v>
      </c>
      <c r="B31" s="14" t="s">
        <v>271</v>
      </c>
      <c r="C31" s="7" t="s">
        <v>193</v>
      </c>
      <c r="D31" s="7" t="s">
        <v>199</v>
      </c>
      <c r="E31" s="7" t="s">
        <v>24</v>
      </c>
      <c r="F31" s="7" t="s">
        <v>466</v>
      </c>
      <c r="G31" s="8">
        <v>1940</v>
      </c>
      <c r="H31" s="8">
        <v>666.7</v>
      </c>
    </row>
    <row r="32" spans="1:8" ht="30.75" customHeight="1" outlineLevel="1">
      <c r="A32" s="15" t="s">
        <v>473</v>
      </c>
      <c r="B32" s="14" t="s">
        <v>271</v>
      </c>
      <c r="C32" s="7" t="s">
        <v>193</v>
      </c>
      <c r="D32" s="7" t="s">
        <v>199</v>
      </c>
      <c r="E32" s="7" t="s">
        <v>24</v>
      </c>
      <c r="F32" s="7" t="s">
        <v>472</v>
      </c>
      <c r="G32" s="8">
        <v>5</v>
      </c>
      <c r="H32" s="8">
        <v>0</v>
      </c>
    </row>
    <row r="33" spans="1:8" ht="30" customHeight="1" outlineLevel="1">
      <c r="A33" s="19" t="s">
        <v>334</v>
      </c>
      <c r="B33" s="30" t="s">
        <v>271</v>
      </c>
      <c r="C33" s="6" t="s">
        <v>195</v>
      </c>
      <c r="D33" s="6" t="s">
        <v>194</v>
      </c>
      <c r="E33" s="6"/>
      <c r="F33" s="6"/>
      <c r="G33" s="4">
        <f aca="true" t="shared" si="0" ref="G33:H36">G34</f>
        <v>315</v>
      </c>
      <c r="H33" s="4">
        <f t="shared" si="0"/>
        <v>55</v>
      </c>
    </row>
    <row r="34" spans="1:8" ht="18.75" customHeight="1" outlineLevel="1">
      <c r="A34" s="18" t="s">
        <v>439</v>
      </c>
      <c r="B34" s="14" t="s">
        <v>271</v>
      </c>
      <c r="C34" s="7" t="s">
        <v>195</v>
      </c>
      <c r="D34" s="7" t="s">
        <v>208</v>
      </c>
      <c r="E34" s="7"/>
      <c r="F34" s="7"/>
      <c r="G34" s="8">
        <f t="shared" si="0"/>
        <v>315</v>
      </c>
      <c r="H34" s="8">
        <f t="shared" si="0"/>
        <v>55</v>
      </c>
    </row>
    <row r="35" spans="1:8" ht="27.75" customHeight="1" outlineLevel="1">
      <c r="A35" s="15" t="s">
        <v>310</v>
      </c>
      <c r="B35" s="14" t="s">
        <v>271</v>
      </c>
      <c r="C35" s="7" t="s">
        <v>195</v>
      </c>
      <c r="D35" s="7" t="s">
        <v>208</v>
      </c>
      <c r="E35" s="7" t="s">
        <v>33</v>
      </c>
      <c r="F35" s="7"/>
      <c r="G35" s="8">
        <f t="shared" si="0"/>
        <v>315</v>
      </c>
      <c r="H35" s="8">
        <f t="shared" si="0"/>
        <v>55</v>
      </c>
    </row>
    <row r="36" spans="1:8" ht="46.5" customHeight="1" outlineLevel="1">
      <c r="A36" s="15" t="s">
        <v>398</v>
      </c>
      <c r="B36" s="14" t="s">
        <v>271</v>
      </c>
      <c r="C36" s="7" t="s">
        <v>195</v>
      </c>
      <c r="D36" s="7" t="s">
        <v>208</v>
      </c>
      <c r="E36" s="7" t="s">
        <v>182</v>
      </c>
      <c r="F36" s="7"/>
      <c r="G36" s="8">
        <f t="shared" si="0"/>
        <v>315</v>
      </c>
      <c r="H36" s="8">
        <f t="shared" si="0"/>
        <v>55</v>
      </c>
    </row>
    <row r="37" spans="1:8" ht="28.5" customHeight="1" outlineLevel="1">
      <c r="A37" s="15" t="s">
        <v>467</v>
      </c>
      <c r="B37" s="14" t="s">
        <v>271</v>
      </c>
      <c r="C37" s="7" t="s">
        <v>195</v>
      </c>
      <c r="D37" s="7" t="s">
        <v>208</v>
      </c>
      <c r="E37" s="7" t="s">
        <v>182</v>
      </c>
      <c r="F37" s="7" t="s">
        <v>466</v>
      </c>
      <c r="G37" s="8">
        <f>215+100</f>
        <v>315</v>
      </c>
      <c r="H37" s="8">
        <f>55</f>
        <v>55</v>
      </c>
    </row>
    <row r="38" spans="1:8" ht="17.25" customHeight="1" outlineLevel="1">
      <c r="A38" s="17" t="s">
        <v>4</v>
      </c>
      <c r="B38" s="29" t="s">
        <v>271</v>
      </c>
      <c r="C38" s="6" t="s">
        <v>196</v>
      </c>
      <c r="D38" s="6" t="s">
        <v>194</v>
      </c>
      <c r="E38" s="6"/>
      <c r="F38" s="6"/>
      <c r="G38" s="4">
        <f aca="true" t="shared" si="1" ref="G38:H41">G39</f>
        <v>2000</v>
      </c>
      <c r="H38" s="4">
        <f t="shared" si="1"/>
        <v>190.6</v>
      </c>
    </row>
    <row r="39" spans="1:8" ht="31.5" customHeight="1" outlineLevel="1">
      <c r="A39" s="18" t="s">
        <v>113</v>
      </c>
      <c r="B39" s="14" t="s">
        <v>271</v>
      </c>
      <c r="C39" s="7" t="s">
        <v>196</v>
      </c>
      <c r="D39" s="7" t="s">
        <v>209</v>
      </c>
      <c r="E39" s="7"/>
      <c r="F39" s="7"/>
      <c r="G39" s="8">
        <f t="shared" si="1"/>
        <v>2000</v>
      </c>
      <c r="H39" s="8">
        <f t="shared" si="1"/>
        <v>190.6</v>
      </c>
    </row>
    <row r="40" spans="1:8" ht="31.5" customHeight="1" outlineLevel="1">
      <c r="A40" s="15" t="s">
        <v>46</v>
      </c>
      <c r="B40" s="14" t="s">
        <v>271</v>
      </c>
      <c r="C40" s="7" t="s">
        <v>196</v>
      </c>
      <c r="D40" s="7" t="s">
        <v>209</v>
      </c>
      <c r="E40" s="7" t="s">
        <v>47</v>
      </c>
      <c r="F40" s="7"/>
      <c r="G40" s="8">
        <f t="shared" si="1"/>
        <v>2000</v>
      </c>
      <c r="H40" s="8">
        <f t="shared" si="1"/>
        <v>190.6</v>
      </c>
    </row>
    <row r="41" spans="1:8" ht="31.5" customHeight="1" outlineLevel="1">
      <c r="A41" s="15" t="s">
        <v>101</v>
      </c>
      <c r="B41" s="14" t="s">
        <v>271</v>
      </c>
      <c r="C41" s="7" t="s">
        <v>196</v>
      </c>
      <c r="D41" s="7" t="s">
        <v>209</v>
      </c>
      <c r="E41" s="7" t="s">
        <v>48</v>
      </c>
      <c r="F41" s="7"/>
      <c r="G41" s="8">
        <f t="shared" si="1"/>
        <v>2000</v>
      </c>
      <c r="H41" s="8">
        <f t="shared" si="1"/>
        <v>190.6</v>
      </c>
    </row>
    <row r="42" spans="1:8" ht="31.5" customHeight="1" outlineLevel="1">
      <c r="A42" s="15" t="s">
        <v>467</v>
      </c>
      <c r="B42" s="14" t="s">
        <v>271</v>
      </c>
      <c r="C42" s="7" t="s">
        <v>196</v>
      </c>
      <c r="D42" s="7" t="s">
        <v>209</v>
      </c>
      <c r="E42" s="7" t="s">
        <v>48</v>
      </c>
      <c r="F42" s="7" t="s">
        <v>466</v>
      </c>
      <c r="G42" s="8">
        <v>2000</v>
      </c>
      <c r="H42" s="8">
        <f>190.6</f>
        <v>190.6</v>
      </c>
    </row>
    <row r="43" spans="1:8" ht="63" customHeight="1">
      <c r="A43" s="22" t="s">
        <v>272</v>
      </c>
      <c r="B43" s="13" t="s">
        <v>273</v>
      </c>
      <c r="C43" s="13"/>
      <c r="D43" s="13"/>
      <c r="E43" s="13"/>
      <c r="F43" s="13"/>
      <c r="G43" s="16">
        <f>G44+G87+G99+G142+G237+G247+G279+G338+G347</f>
        <v>558486.2</v>
      </c>
      <c r="H43" s="16">
        <f>H44+H87+H99+H142+H237+H247+H279+H338+H347</f>
        <v>136269</v>
      </c>
    </row>
    <row r="44" spans="1:8" ht="18.75" customHeight="1" outlineLevel="1">
      <c r="A44" s="17" t="s">
        <v>1</v>
      </c>
      <c r="B44" s="6" t="s">
        <v>273</v>
      </c>
      <c r="C44" s="6" t="s">
        <v>193</v>
      </c>
      <c r="D44" s="6" t="s">
        <v>194</v>
      </c>
      <c r="E44" s="6"/>
      <c r="F44" s="6"/>
      <c r="G44" s="4">
        <f>G45+G64</f>
        <v>60036</v>
      </c>
      <c r="H44" s="4">
        <f>H45+H64</f>
        <v>23669.100000000002</v>
      </c>
    </row>
    <row r="45" spans="1:11" ht="90.75" customHeight="1" outlineLevel="1">
      <c r="A45" s="18" t="s">
        <v>339</v>
      </c>
      <c r="B45" s="14" t="s">
        <v>273</v>
      </c>
      <c r="C45" s="7" t="s">
        <v>193</v>
      </c>
      <c r="D45" s="7" t="s">
        <v>196</v>
      </c>
      <c r="E45" s="7"/>
      <c r="F45" s="7"/>
      <c r="G45" s="8">
        <f>G46+G59+G62</f>
        <v>41791.299999999996</v>
      </c>
      <c r="H45" s="8">
        <f>H46+H59+H62</f>
        <v>18752.9</v>
      </c>
      <c r="K45" s="1"/>
    </row>
    <row r="46" spans="1:8" ht="72" customHeight="1" outlineLevel="1">
      <c r="A46" s="15" t="s">
        <v>190</v>
      </c>
      <c r="B46" s="14" t="s">
        <v>273</v>
      </c>
      <c r="C46" s="7" t="s">
        <v>193</v>
      </c>
      <c r="D46" s="7" t="s">
        <v>196</v>
      </c>
      <c r="E46" s="7" t="s">
        <v>18</v>
      </c>
      <c r="F46" s="7"/>
      <c r="G46" s="8">
        <f>G47+G56</f>
        <v>40147.1</v>
      </c>
      <c r="H46" s="8">
        <f>H47+H56</f>
        <v>18048</v>
      </c>
    </row>
    <row r="47" spans="1:8" ht="17.25" customHeight="1" outlineLevel="1">
      <c r="A47" s="15" t="s">
        <v>526</v>
      </c>
      <c r="B47" s="14" t="s">
        <v>273</v>
      </c>
      <c r="C47" s="7" t="s">
        <v>193</v>
      </c>
      <c r="D47" s="7" t="s">
        <v>196</v>
      </c>
      <c r="E47" s="7" t="s">
        <v>15</v>
      </c>
      <c r="F47" s="7"/>
      <c r="G47" s="8">
        <f>G48+G54</f>
        <v>38888.1</v>
      </c>
      <c r="H47" s="8">
        <f>H48+H54</f>
        <v>17437.3</v>
      </c>
    </row>
    <row r="48" spans="1:8" ht="29.25" customHeight="1" outlineLevel="1">
      <c r="A48" s="15" t="s">
        <v>527</v>
      </c>
      <c r="B48" s="14" t="s">
        <v>273</v>
      </c>
      <c r="C48" s="7" t="s">
        <v>193</v>
      </c>
      <c r="D48" s="7" t="s">
        <v>196</v>
      </c>
      <c r="E48" s="7" t="s">
        <v>191</v>
      </c>
      <c r="F48" s="7"/>
      <c r="G48" s="8">
        <f>G49+G50+G51+G52+G53</f>
        <v>37124.6</v>
      </c>
      <c r="H48" s="8">
        <f>H49+H50+H51+H52+H53</f>
        <v>16749.2</v>
      </c>
    </row>
    <row r="49" spans="1:8" ht="19.5" customHeight="1" outlineLevel="1">
      <c r="A49" s="15" t="s">
        <v>468</v>
      </c>
      <c r="B49" s="14" t="s">
        <v>273</v>
      </c>
      <c r="C49" s="7" t="s">
        <v>193</v>
      </c>
      <c r="D49" s="7" t="s">
        <v>196</v>
      </c>
      <c r="E49" s="7" t="s">
        <v>191</v>
      </c>
      <c r="F49" s="7" t="s">
        <v>470</v>
      </c>
      <c r="G49" s="8">
        <v>29649.1</v>
      </c>
      <c r="H49" s="8">
        <f>12722.2</f>
        <v>12722.2</v>
      </c>
    </row>
    <row r="50" spans="1:8" ht="30" customHeight="1" outlineLevel="1">
      <c r="A50" s="15" t="s">
        <v>469</v>
      </c>
      <c r="B50" s="14" t="s">
        <v>273</v>
      </c>
      <c r="C50" s="7" t="s">
        <v>193</v>
      </c>
      <c r="D50" s="7" t="s">
        <v>196</v>
      </c>
      <c r="E50" s="7" t="s">
        <v>191</v>
      </c>
      <c r="F50" s="7" t="s">
        <v>471</v>
      </c>
      <c r="G50" s="8">
        <v>100</v>
      </c>
      <c r="H50" s="8">
        <f>4</f>
        <v>4</v>
      </c>
    </row>
    <row r="51" spans="1:8" ht="45.75" customHeight="1" outlineLevel="1">
      <c r="A51" s="15" t="s">
        <v>484</v>
      </c>
      <c r="B51" s="14" t="s">
        <v>273</v>
      </c>
      <c r="C51" s="7" t="s">
        <v>193</v>
      </c>
      <c r="D51" s="7" t="s">
        <v>196</v>
      </c>
      <c r="E51" s="7" t="s">
        <v>191</v>
      </c>
      <c r="F51" s="7" t="s">
        <v>483</v>
      </c>
      <c r="G51" s="8">
        <v>1137</v>
      </c>
      <c r="H51" s="8">
        <f>543.1</f>
        <v>543.1</v>
      </c>
    </row>
    <row r="52" spans="1:8" ht="30" customHeight="1" outlineLevel="1">
      <c r="A52" s="15" t="s">
        <v>467</v>
      </c>
      <c r="B52" s="14" t="s">
        <v>273</v>
      </c>
      <c r="C52" s="7" t="s">
        <v>193</v>
      </c>
      <c r="D52" s="7" t="s">
        <v>196</v>
      </c>
      <c r="E52" s="7" t="s">
        <v>191</v>
      </c>
      <c r="F52" s="7" t="s">
        <v>466</v>
      </c>
      <c r="G52" s="8">
        <f>6039.5+150</f>
        <v>6189.5</v>
      </c>
      <c r="H52" s="8">
        <f>3455.8</f>
        <v>3455.8</v>
      </c>
    </row>
    <row r="53" spans="1:8" ht="30" customHeight="1" outlineLevel="1">
      <c r="A53" s="15" t="s">
        <v>473</v>
      </c>
      <c r="B53" s="14" t="s">
        <v>273</v>
      </c>
      <c r="C53" s="7" t="s">
        <v>193</v>
      </c>
      <c r="D53" s="7" t="s">
        <v>196</v>
      </c>
      <c r="E53" s="7" t="s">
        <v>191</v>
      </c>
      <c r="F53" s="7" t="s">
        <v>472</v>
      </c>
      <c r="G53" s="8">
        <v>49</v>
      </c>
      <c r="H53" s="8">
        <f>24.1</f>
        <v>24.1</v>
      </c>
    </row>
    <row r="54" spans="1:8" ht="30" customHeight="1" outlineLevel="1">
      <c r="A54" s="15" t="s">
        <v>528</v>
      </c>
      <c r="B54" s="14" t="s">
        <v>273</v>
      </c>
      <c r="C54" s="7" t="s">
        <v>193</v>
      </c>
      <c r="D54" s="7" t="s">
        <v>196</v>
      </c>
      <c r="E54" s="7" t="s">
        <v>96</v>
      </c>
      <c r="F54" s="7"/>
      <c r="G54" s="8">
        <f>G55</f>
        <v>1763.5</v>
      </c>
      <c r="H54" s="8">
        <f>H55</f>
        <v>688.1</v>
      </c>
    </row>
    <row r="55" spans="1:8" ht="16.5" customHeight="1" outlineLevel="1">
      <c r="A55" s="15" t="s">
        <v>468</v>
      </c>
      <c r="B55" s="14" t="s">
        <v>273</v>
      </c>
      <c r="C55" s="7" t="s">
        <v>193</v>
      </c>
      <c r="D55" s="7" t="s">
        <v>196</v>
      </c>
      <c r="E55" s="7" t="s">
        <v>96</v>
      </c>
      <c r="F55" s="7" t="s">
        <v>470</v>
      </c>
      <c r="G55" s="8">
        <v>1763.5</v>
      </c>
      <c r="H55" s="8">
        <f>688.1</f>
        <v>688.1</v>
      </c>
    </row>
    <row r="56" spans="1:8" ht="45" customHeight="1" outlineLevel="1">
      <c r="A56" s="15" t="s">
        <v>16</v>
      </c>
      <c r="B56" s="14" t="s">
        <v>273</v>
      </c>
      <c r="C56" s="7" t="s">
        <v>193</v>
      </c>
      <c r="D56" s="7" t="s">
        <v>196</v>
      </c>
      <c r="E56" s="7" t="s">
        <v>17</v>
      </c>
      <c r="F56" s="7"/>
      <c r="G56" s="8">
        <f>G57+G58</f>
        <v>1259</v>
      </c>
      <c r="H56" s="8">
        <f>H57+H58</f>
        <v>610.6999999999999</v>
      </c>
    </row>
    <row r="57" spans="1:8" ht="17.25" customHeight="1" outlineLevel="1">
      <c r="A57" s="15" t="s">
        <v>468</v>
      </c>
      <c r="B57" s="14" t="s">
        <v>273</v>
      </c>
      <c r="C57" s="7" t="s">
        <v>193</v>
      </c>
      <c r="D57" s="7" t="s">
        <v>196</v>
      </c>
      <c r="E57" s="7" t="s">
        <v>17</v>
      </c>
      <c r="F57" s="7" t="s">
        <v>470</v>
      </c>
      <c r="G57" s="8">
        <v>1199</v>
      </c>
      <c r="H57" s="8">
        <f>610.4</f>
        <v>610.4</v>
      </c>
    </row>
    <row r="58" spans="1:8" ht="31.5" customHeight="1" outlineLevel="1">
      <c r="A58" s="15" t="s">
        <v>469</v>
      </c>
      <c r="B58" s="14" t="s">
        <v>273</v>
      </c>
      <c r="C58" s="7" t="s">
        <v>193</v>
      </c>
      <c r="D58" s="7" t="s">
        <v>196</v>
      </c>
      <c r="E58" s="7" t="s">
        <v>17</v>
      </c>
      <c r="F58" s="7" t="s">
        <v>471</v>
      </c>
      <c r="G58" s="8">
        <v>60</v>
      </c>
      <c r="H58" s="8">
        <f>0.3</f>
        <v>0.3</v>
      </c>
    </row>
    <row r="59" spans="1:8" ht="63.75" customHeight="1" outlineLevel="1">
      <c r="A59" s="15" t="s">
        <v>346</v>
      </c>
      <c r="B59" s="14" t="s">
        <v>273</v>
      </c>
      <c r="C59" s="7" t="s">
        <v>193</v>
      </c>
      <c r="D59" s="7" t="s">
        <v>196</v>
      </c>
      <c r="E59" s="7" t="s">
        <v>348</v>
      </c>
      <c r="F59" s="7"/>
      <c r="G59" s="8">
        <f>G60+G61</f>
        <v>1634.1999999999998</v>
      </c>
      <c r="H59" s="8">
        <f>H60+H61</f>
        <v>704</v>
      </c>
    </row>
    <row r="60" spans="1:8" ht="19.5" customHeight="1" outlineLevel="1">
      <c r="A60" s="15" t="s">
        <v>468</v>
      </c>
      <c r="B60" s="14" t="s">
        <v>273</v>
      </c>
      <c r="C60" s="7" t="s">
        <v>193</v>
      </c>
      <c r="D60" s="7" t="s">
        <v>196</v>
      </c>
      <c r="E60" s="7" t="s">
        <v>348</v>
      </c>
      <c r="F60" s="7" t="s">
        <v>470</v>
      </c>
      <c r="G60" s="8">
        <v>1558.6</v>
      </c>
      <c r="H60" s="8">
        <f>679.6</f>
        <v>679.6</v>
      </c>
    </row>
    <row r="61" spans="1:8" ht="30.75" customHeight="1" outlineLevel="1">
      <c r="A61" s="15" t="s">
        <v>467</v>
      </c>
      <c r="B61" s="14" t="s">
        <v>273</v>
      </c>
      <c r="C61" s="7" t="s">
        <v>193</v>
      </c>
      <c r="D61" s="7" t="s">
        <v>196</v>
      </c>
      <c r="E61" s="7" t="s">
        <v>348</v>
      </c>
      <c r="F61" s="7" t="s">
        <v>466</v>
      </c>
      <c r="G61" s="8">
        <v>75.6</v>
      </c>
      <c r="H61" s="8">
        <f>24.4</f>
        <v>24.4</v>
      </c>
    </row>
    <row r="62" spans="1:8" ht="47.25" customHeight="1" outlineLevel="1">
      <c r="A62" s="15" t="s">
        <v>347</v>
      </c>
      <c r="B62" s="14" t="s">
        <v>273</v>
      </c>
      <c r="C62" s="7" t="s">
        <v>193</v>
      </c>
      <c r="D62" s="7" t="s">
        <v>196</v>
      </c>
      <c r="E62" s="7" t="s">
        <v>349</v>
      </c>
      <c r="F62" s="7"/>
      <c r="G62" s="8">
        <f>G63</f>
        <v>10</v>
      </c>
      <c r="H62" s="8">
        <f>H63</f>
        <v>0.9</v>
      </c>
    </row>
    <row r="63" spans="1:8" ht="30" customHeight="1" outlineLevel="1">
      <c r="A63" s="15" t="s">
        <v>467</v>
      </c>
      <c r="B63" s="14" t="s">
        <v>273</v>
      </c>
      <c r="C63" s="7" t="s">
        <v>193</v>
      </c>
      <c r="D63" s="7" t="s">
        <v>196</v>
      </c>
      <c r="E63" s="7" t="s">
        <v>349</v>
      </c>
      <c r="F63" s="7" t="s">
        <v>466</v>
      </c>
      <c r="G63" s="8">
        <v>10</v>
      </c>
      <c r="H63" s="8">
        <f>0.9</f>
        <v>0.9</v>
      </c>
    </row>
    <row r="64" spans="1:8" ht="30.75" customHeight="1" outlineLevel="1">
      <c r="A64" s="18" t="s">
        <v>9</v>
      </c>
      <c r="B64" s="14" t="s">
        <v>273</v>
      </c>
      <c r="C64" s="7" t="s">
        <v>193</v>
      </c>
      <c r="D64" s="7" t="s">
        <v>199</v>
      </c>
      <c r="E64" s="7"/>
      <c r="F64" s="7"/>
      <c r="G64" s="8">
        <f>G65</f>
        <v>18244.7</v>
      </c>
      <c r="H64" s="8">
        <f>H65</f>
        <v>4916.2</v>
      </c>
    </row>
    <row r="65" spans="1:8" ht="60.75" customHeight="1" outlineLevel="1">
      <c r="A65" s="15" t="s">
        <v>21</v>
      </c>
      <c r="B65" s="14" t="s">
        <v>273</v>
      </c>
      <c r="C65" s="7" t="s">
        <v>193</v>
      </c>
      <c r="D65" s="7" t="s">
        <v>199</v>
      </c>
      <c r="E65" s="7" t="s">
        <v>22</v>
      </c>
      <c r="F65" s="7"/>
      <c r="G65" s="8">
        <f>G68+G82</f>
        <v>18244.7</v>
      </c>
      <c r="H65" s="8">
        <f>H68+H82</f>
        <v>4916.2</v>
      </c>
    </row>
    <row r="66" spans="1:8" ht="62.25" customHeight="1" hidden="1" outlineLevel="2">
      <c r="A66" s="15" t="s">
        <v>23</v>
      </c>
      <c r="B66" s="14" t="s">
        <v>273</v>
      </c>
      <c r="C66" s="7" t="s">
        <v>193</v>
      </c>
      <c r="D66" s="7" t="s">
        <v>199</v>
      </c>
      <c r="E66" s="7" t="s">
        <v>24</v>
      </c>
      <c r="F66" s="7"/>
      <c r="G66" s="8">
        <f>G67</f>
        <v>0</v>
      </c>
      <c r="H66" s="8">
        <f>H67</f>
        <v>0</v>
      </c>
    </row>
    <row r="67" spans="1:8" ht="29.25" customHeight="1" hidden="1" outlineLevel="2">
      <c r="A67" s="15" t="s">
        <v>467</v>
      </c>
      <c r="B67" s="14" t="s">
        <v>273</v>
      </c>
      <c r="C67" s="7" t="s">
        <v>193</v>
      </c>
      <c r="D67" s="7" t="s">
        <v>199</v>
      </c>
      <c r="E67" s="7" t="s">
        <v>24</v>
      </c>
      <c r="F67" s="7" t="s">
        <v>466</v>
      </c>
      <c r="G67" s="8">
        <v>0</v>
      </c>
      <c r="H67" s="8">
        <v>0</v>
      </c>
    </row>
    <row r="68" spans="1:8" ht="44.25" customHeight="1" outlineLevel="1" collapsed="1">
      <c r="A68" s="15" t="s">
        <v>25</v>
      </c>
      <c r="B68" s="14" t="s">
        <v>273</v>
      </c>
      <c r="C68" s="7" t="s">
        <v>193</v>
      </c>
      <c r="D68" s="7" t="s">
        <v>199</v>
      </c>
      <c r="E68" s="7" t="s">
        <v>26</v>
      </c>
      <c r="F68" s="7"/>
      <c r="G68" s="8">
        <f>G69</f>
        <v>10549</v>
      </c>
      <c r="H68" s="8">
        <f>H69</f>
        <v>1378.8</v>
      </c>
    </row>
    <row r="69" spans="1:8" ht="27.75" customHeight="1" outlineLevel="1">
      <c r="A69" s="15" t="s">
        <v>40</v>
      </c>
      <c r="B69" s="14" t="s">
        <v>273</v>
      </c>
      <c r="C69" s="7" t="s">
        <v>193</v>
      </c>
      <c r="D69" s="7" t="s">
        <v>199</v>
      </c>
      <c r="E69" s="7" t="s">
        <v>27</v>
      </c>
      <c r="F69" s="7"/>
      <c r="G69" s="8">
        <f>G70+G72+G74+G78+G80</f>
        <v>10549</v>
      </c>
      <c r="H69" s="8">
        <f>H70+H72+H74+H78+H80</f>
        <v>1378.8</v>
      </c>
    </row>
    <row r="70" spans="1:8" ht="42.75" customHeight="1" outlineLevel="1">
      <c r="A70" s="15" t="s">
        <v>266</v>
      </c>
      <c r="B70" s="14" t="s">
        <v>273</v>
      </c>
      <c r="C70" s="7" t="s">
        <v>193</v>
      </c>
      <c r="D70" s="7" t="s">
        <v>199</v>
      </c>
      <c r="E70" s="7" t="s">
        <v>204</v>
      </c>
      <c r="F70" s="7"/>
      <c r="G70" s="8">
        <f>G71</f>
        <v>170</v>
      </c>
      <c r="H70" s="8">
        <f>H71</f>
        <v>0</v>
      </c>
    </row>
    <row r="71" spans="1:8" ht="15" customHeight="1" outlineLevel="1">
      <c r="A71" s="15" t="s">
        <v>473</v>
      </c>
      <c r="B71" s="14" t="s">
        <v>273</v>
      </c>
      <c r="C71" s="7" t="s">
        <v>193</v>
      </c>
      <c r="D71" s="7" t="s">
        <v>199</v>
      </c>
      <c r="E71" s="7" t="s">
        <v>204</v>
      </c>
      <c r="F71" s="7" t="s">
        <v>472</v>
      </c>
      <c r="G71" s="8">
        <v>170</v>
      </c>
      <c r="H71" s="8">
        <v>0</v>
      </c>
    </row>
    <row r="72" spans="1:8" ht="31.5" customHeight="1" outlineLevel="1">
      <c r="A72" s="15" t="s">
        <v>267</v>
      </c>
      <c r="B72" s="14" t="s">
        <v>273</v>
      </c>
      <c r="C72" s="7" t="s">
        <v>193</v>
      </c>
      <c r="D72" s="7" t="s">
        <v>199</v>
      </c>
      <c r="E72" s="7" t="s">
        <v>205</v>
      </c>
      <c r="F72" s="7"/>
      <c r="G72" s="8">
        <f>G73</f>
        <v>45</v>
      </c>
      <c r="H72" s="8">
        <f>H73</f>
        <v>45</v>
      </c>
    </row>
    <row r="73" spans="1:8" ht="27.75" customHeight="1" outlineLevel="1">
      <c r="A73" s="15" t="s">
        <v>473</v>
      </c>
      <c r="B73" s="14" t="s">
        <v>273</v>
      </c>
      <c r="C73" s="7" t="s">
        <v>193</v>
      </c>
      <c r="D73" s="7" t="s">
        <v>199</v>
      </c>
      <c r="E73" s="7" t="s">
        <v>205</v>
      </c>
      <c r="F73" s="7" t="s">
        <v>472</v>
      </c>
      <c r="G73" s="8">
        <v>45</v>
      </c>
      <c r="H73" s="8">
        <v>45</v>
      </c>
    </row>
    <row r="74" spans="1:8" ht="15" customHeight="1" outlineLevel="1">
      <c r="A74" s="15" t="s">
        <v>292</v>
      </c>
      <c r="B74" s="14" t="s">
        <v>273</v>
      </c>
      <c r="C74" s="7" t="s">
        <v>193</v>
      </c>
      <c r="D74" s="7" t="s">
        <v>199</v>
      </c>
      <c r="E74" s="7" t="s">
        <v>268</v>
      </c>
      <c r="F74" s="7"/>
      <c r="G74" s="8">
        <f>G75+G76+G77</f>
        <v>3834</v>
      </c>
      <c r="H74" s="8">
        <f>H75+H76+H77</f>
        <v>1333.8</v>
      </c>
    </row>
    <row r="75" spans="1:8" ht="30" customHeight="1" outlineLevel="1">
      <c r="A75" s="15" t="s">
        <v>467</v>
      </c>
      <c r="B75" s="14" t="s">
        <v>273</v>
      </c>
      <c r="C75" s="7" t="s">
        <v>193</v>
      </c>
      <c r="D75" s="7" t="s">
        <v>199</v>
      </c>
      <c r="E75" s="7" t="s">
        <v>268</v>
      </c>
      <c r="F75" s="7" t="s">
        <v>466</v>
      </c>
      <c r="G75" s="8">
        <f>2784+400</f>
        <v>3184</v>
      </c>
      <c r="H75" s="8">
        <f>1084.3</f>
        <v>1084.3</v>
      </c>
    </row>
    <row r="76" spans="1:8" ht="15.75" customHeight="1" outlineLevel="1">
      <c r="A76" s="15" t="s">
        <v>518</v>
      </c>
      <c r="B76" s="14" t="s">
        <v>273</v>
      </c>
      <c r="C76" s="7" t="s">
        <v>193</v>
      </c>
      <c r="D76" s="7" t="s">
        <v>199</v>
      </c>
      <c r="E76" s="7" t="s">
        <v>268</v>
      </c>
      <c r="F76" s="7" t="s">
        <v>519</v>
      </c>
      <c r="G76" s="8">
        <v>600</v>
      </c>
      <c r="H76" s="8">
        <f>232.7</f>
        <v>232.7</v>
      </c>
    </row>
    <row r="77" spans="1:8" ht="28.5" customHeight="1" outlineLevel="1">
      <c r="A77" s="15" t="s">
        <v>473</v>
      </c>
      <c r="B77" s="14" t="s">
        <v>273</v>
      </c>
      <c r="C77" s="7" t="s">
        <v>193</v>
      </c>
      <c r="D77" s="7" t="s">
        <v>199</v>
      </c>
      <c r="E77" s="7" t="s">
        <v>268</v>
      </c>
      <c r="F77" s="7" t="s">
        <v>472</v>
      </c>
      <c r="G77" s="8">
        <v>50</v>
      </c>
      <c r="H77" s="8">
        <f>16.8</f>
        <v>16.8</v>
      </c>
    </row>
    <row r="78" spans="1:8" ht="30" customHeight="1" outlineLevel="1">
      <c r="A78" s="15" t="s">
        <v>409</v>
      </c>
      <c r="B78" s="14" t="s">
        <v>273</v>
      </c>
      <c r="C78" s="7" t="s">
        <v>193</v>
      </c>
      <c r="D78" s="7" t="s">
        <v>199</v>
      </c>
      <c r="E78" s="7" t="s">
        <v>364</v>
      </c>
      <c r="F78" s="7"/>
      <c r="G78" s="8">
        <f>G79</f>
        <v>3500</v>
      </c>
      <c r="H78" s="8">
        <f>H79</f>
        <v>0</v>
      </c>
    </row>
    <row r="79" spans="1:8" ht="29.25" customHeight="1" outlineLevel="1">
      <c r="A79" s="15" t="s">
        <v>467</v>
      </c>
      <c r="B79" s="14" t="s">
        <v>273</v>
      </c>
      <c r="C79" s="7" t="s">
        <v>193</v>
      </c>
      <c r="D79" s="7" t="s">
        <v>199</v>
      </c>
      <c r="E79" s="7" t="s">
        <v>364</v>
      </c>
      <c r="F79" s="7" t="s">
        <v>466</v>
      </c>
      <c r="G79" s="8">
        <v>3500</v>
      </c>
      <c r="H79" s="8">
        <v>0</v>
      </c>
    </row>
    <row r="80" spans="1:8" ht="29.25" customHeight="1" outlineLevel="1">
      <c r="A80" s="42" t="s">
        <v>399</v>
      </c>
      <c r="B80" s="14" t="s">
        <v>273</v>
      </c>
      <c r="C80" s="7" t="s">
        <v>193</v>
      </c>
      <c r="D80" s="7" t="s">
        <v>199</v>
      </c>
      <c r="E80" s="7" t="s">
        <v>406</v>
      </c>
      <c r="F80" s="7"/>
      <c r="G80" s="8">
        <f>G81</f>
        <v>3000</v>
      </c>
      <c r="H80" s="8">
        <f>H81</f>
        <v>0</v>
      </c>
    </row>
    <row r="81" spans="1:8" ht="29.25" customHeight="1" outlineLevel="1">
      <c r="A81" s="15" t="s">
        <v>467</v>
      </c>
      <c r="B81" s="14" t="s">
        <v>273</v>
      </c>
      <c r="C81" s="7" t="s">
        <v>193</v>
      </c>
      <c r="D81" s="7" t="s">
        <v>199</v>
      </c>
      <c r="E81" s="7" t="s">
        <v>406</v>
      </c>
      <c r="F81" s="7" t="s">
        <v>466</v>
      </c>
      <c r="G81" s="8">
        <v>3000</v>
      </c>
      <c r="H81" s="8">
        <v>0</v>
      </c>
    </row>
    <row r="82" spans="1:8" ht="30.75" customHeight="1" outlineLevel="1">
      <c r="A82" s="15" t="s">
        <v>28</v>
      </c>
      <c r="B82" s="14" t="s">
        <v>273</v>
      </c>
      <c r="C82" s="7" t="s">
        <v>193</v>
      </c>
      <c r="D82" s="7" t="s">
        <v>199</v>
      </c>
      <c r="E82" s="7" t="s">
        <v>29</v>
      </c>
      <c r="F82" s="7"/>
      <c r="G82" s="8">
        <f>G83</f>
        <v>7695.7</v>
      </c>
      <c r="H82" s="8">
        <f>H83</f>
        <v>3537.4</v>
      </c>
    </row>
    <row r="83" spans="1:8" ht="30.75" customHeight="1" outlineLevel="1">
      <c r="A83" s="15" t="s">
        <v>20</v>
      </c>
      <c r="B83" s="14" t="s">
        <v>273</v>
      </c>
      <c r="C83" s="7" t="s">
        <v>193</v>
      </c>
      <c r="D83" s="7" t="s">
        <v>199</v>
      </c>
      <c r="E83" s="7" t="s">
        <v>30</v>
      </c>
      <c r="F83" s="7"/>
      <c r="G83" s="8">
        <f>G84+G85+G86</f>
        <v>7695.7</v>
      </c>
      <c r="H83" s="8">
        <f>H84+H85+H86</f>
        <v>3537.4</v>
      </c>
    </row>
    <row r="84" spans="1:8" ht="16.5" customHeight="1" outlineLevel="1">
      <c r="A84" s="15" t="s">
        <v>468</v>
      </c>
      <c r="B84" s="14" t="s">
        <v>273</v>
      </c>
      <c r="C84" s="7" t="s">
        <v>193</v>
      </c>
      <c r="D84" s="7" t="s">
        <v>199</v>
      </c>
      <c r="E84" s="7" t="s">
        <v>30</v>
      </c>
      <c r="F84" s="7" t="s">
        <v>474</v>
      </c>
      <c r="G84" s="8">
        <f>7119.4+235</f>
        <v>7354.4</v>
      </c>
      <c r="H84" s="8">
        <f>3382.3</f>
        <v>3382.3</v>
      </c>
    </row>
    <row r="85" spans="1:8" ht="42" customHeight="1" outlineLevel="1">
      <c r="A85" s="15" t="s">
        <v>484</v>
      </c>
      <c r="B85" s="14" t="s">
        <v>273</v>
      </c>
      <c r="C85" s="7" t="s">
        <v>193</v>
      </c>
      <c r="D85" s="7" t="s">
        <v>199</v>
      </c>
      <c r="E85" s="7" t="s">
        <v>30</v>
      </c>
      <c r="F85" s="7" t="s">
        <v>483</v>
      </c>
      <c r="G85" s="8">
        <v>16.3</v>
      </c>
      <c r="H85" s="8">
        <f>11.9</f>
        <v>11.9</v>
      </c>
    </row>
    <row r="86" spans="1:8" ht="29.25" customHeight="1" outlineLevel="1">
      <c r="A86" s="15" t="s">
        <v>467</v>
      </c>
      <c r="B86" s="14" t="s">
        <v>273</v>
      </c>
      <c r="C86" s="7" t="s">
        <v>193</v>
      </c>
      <c r="D86" s="7" t="s">
        <v>199</v>
      </c>
      <c r="E86" s="7" t="s">
        <v>30</v>
      </c>
      <c r="F86" s="7" t="s">
        <v>466</v>
      </c>
      <c r="G86" s="8">
        <v>325</v>
      </c>
      <c r="H86" s="8">
        <f>143.2</f>
        <v>143.2</v>
      </c>
    </row>
    <row r="87" spans="1:8" ht="33" customHeight="1" outlineLevel="1">
      <c r="A87" s="17" t="s">
        <v>3</v>
      </c>
      <c r="B87" s="30" t="s">
        <v>273</v>
      </c>
      <c r="C87" s="6" t="s">
        <v>195</v>
      </c>
      <c r="D87" s="6" t="s">
        <v>194</v>
      </c>
      <c r="E87" s="6"/>
      <c r="F87" s="6"/>
      <c r="G87" s="4">
        <f>G95+G88</f>
        <v>2074</v>
      </c>
      <c r="H87" s="4">
        <f>H95+H88</f>
        <v>320.6</v>
      </c>
    </row>
    <row r="88" spans="1:8" ht="61.5" customHeight="1" outlineLevel="1">
      <c r="A88" s="37" t="s">
        <v>168</v>
      </c>
      <c r="B88" s="14" t="s">
        <v>273</v>
      </c>
      <c r="C88" s="7" t="s">
        <v>195</v>
      </c>
      <c r="D88" s="7" t="s">
        <v>207</v>
      </c>
      <c r="E88" s="7"/>
      <c r="F88" s="7"/>
      <c r="G88" s="8">
        <f>G92+G89</f>
        <v>920</v>
      </c>
      <c r="H88" s="8">
        <f>H92+H89</f>
        <v>88.2</v>
      </c>
    </row>
    <row r="89" spans="1:8" ht="45" customHeight="1" outlineLevel="1">
      <c r="A89" s="41" t="s">
        <v>169</v>
      </c>
      <c r="B89" s="14" t="s">
        <v>273</v>
      </c>
      <c r="C89" s="7" t="s">
        <v>195</v>
      </c>
      <c r="D89" s="7" t="s">
        <v>207</v>
      </c>
      <c r="E89" s="7" t="s">
        <v>442</v>
      </c>
      <c r="F89" s="7"/>
      <c r="G89" s="8">
        <f>G90</f>
        <v>100</v>
      </c>
      <c r="H89" s="8">
        <f>H90</f>
        <v>88.2</v>
      </c>
    </row>
    <row r="90" spans="1:8" ht="57" customHeight="1" outlineLevel="1">
      <c r="A90" s="41" t="s">
        <v>446</v>
      </c>
      <c r="B90" s="14" t="s">
        <v>273</v>
      </c>
      <c r="C90" s="7" t="s">
        <v>195</v>
      </c>
      <c r="D90" s="7" t="s">
        <v>207</v>
      </c>
      <c r="E90" s="7" t="s">
        <v>447</v>
      </c>
      <c r="F90" s="7"/>
      <c r="G90" s="8">
        <f>G91</f>
        <v>100</v>
      </c>
      <c r="H90" s="8">
        <f>H91</f>
        <v>88.2</v>
      </c>
    </row>
    <row r="91" spans="1:8" ht="30" customHeight="1" outlineLevel="1">
      <c r="A91" s="15" t="s">
        <v>467</v>
      </c>
      <c r="B91" s="14" t="s">
        <v>273</v>
      </c>
      <c r="C91" s="7" t="s">
        <v>195</v>
      </c>
      <c r="D91" s="7" t="s">
        <v>207</v>
      </c>
      <c r="E91" s="7" t="s">
        <v>447</v>
      </c>
      <c r="F91" s="7" t="s">
        <v>466</v>
      </c>
      <c r="G91" s="8">
        <v>100</v>
      </c>
      <c r="H91" s="8">
        <f>88.2</f>
        <v>88.2</v>
      </c>
    </row>
    <row r="92" spans="1:8" ht="30.75" customHeight="1" outlineLevel="1">
      <c r="A92" s="36" t="s">
        <v>206</v>
      </c>
      <c r="B92" s="14" t="s">
        <v>273</v>
      </c>
      <c r="C92" s="7" t="s">
        <v>195</v>
      </c>
      <c r="D92" s="7" t="s">
        <v>207</v>
      </c>
      <c r="E92" s="7" t="s">
        <v>181</v>
      </c>
      <c r="F92" s="7"/>
      <c r="G92" s="8">
        <f>G93</f>
        <v>820</v>
      </c>
      <c r="H92" s="8">
        <f>H93</f>
        <v>0</v>
      </c>
    </row>
    <row r="93" spans="1:8" ht="75.75" customHeight="1" outlineLevel="1">
      <c r="A93" s="11" t="s">
        <v>404</v>
      </c>
      <c r="B93" s="14" t="s">
        <v>273</v>
      </c>
      <c r="C93" s="7" t="s">
        <v>195</v>
      </c>
      <c r="D93" s="7" t="s">
        <v>207</v>
      </c>
      <c r="E93" s="7" t="s">
        <v>181</v>
      </c>
      <c r="F93" s="7"/>
      <c r="G93" s="8">
        <f>G94</f>
        <v>820</v>
      </c>
      <c r="H93" s="8">
        <f>H94</f>
        <v>0</v>
      </c>
    </row>
    <row r="94" spans="1:8" ht="27" customHeight="1" outlineLevel="1">
      <c r="A94" s="15" t="s">
        <v>467</v>
      </c>
      <c r="B94" s="14" t="s">
        <v>273</v>
      </c>
      <c r="C94" s="7" t="s">
        <v>195</v>
      </c>
      <c r="D94" s="7" t="s">
        <v>207</v>
      </c>
      <c r="E94" s="7" t="s">
        <v>181</v>
      </c>
      <c r="F94" s="7" t="s">
        <v>466</v>
      </c>
      <c r="G94" s="8">
        <v>820</v>
      </c>
      <c r="H94" s="8">
        <f>0</f>
        <v>0</v>
      </c>
    </row>
    <row r="95" spans="1:8" ht="15.75" customHeight="1" outlineLevel="1">
      <c r="A95" s="18" t="s">
        <v>100</v>
      </c>
      <c r="B95" s="14" t="s">
        <v>273</v>
      </c>
      <c r="C95" s="7" t="s">
        <v>195</v>
      </c>
      <c r="D95" s="7" t="s">
        <v>208</v>
      </c>
      <c r="E95" s="7"/>
      <c r="F95" s="7"/>
      <c r="G95" s="8">
        <f>G97</f>
        <v>1154</v>
      </c>
      <c r="H95" s="8">
        <f>H97</f>
        <v>232.4</v>
      </c>
    </row>
    <row r="96" spans="1:8" ht="30" customHeight="1" outlineLevel="1">
      <c r="A96" s="15" t="s">
        <v>206</v>
      </c>
      <c r="B96" s="14" t="s">
        <v>273</v>
      </c>
      <c r="C96" s="7" t="s">
        <v>195</v>
      </c>
      <c r="D96" s="7" t="s">
        <v>208</v>
      </c>
      <c r="E96" s="7" t="s">
        <v>33</v>
      </c>
      <c r="F96" s="7"/>
      <c r="G96" s="8">
        <f>G97</f>
        <v>1154</v>
      </c>
      <c r="H96" s="8">
        <f>H97</f>
        <v>232.4</v>
      </c>
    </row>
    <row r="97" spans="1:8" ht="45.75" customHeight="1" outlineLevel="1">
      <c r="A97" s="15" t="s">
        <v>398</v>
      </c>
      <c r="B97" s="14" t="s">
        <v>273</v>
      </c>
      <c r="C97" s="7" t="s">
        <v>195</v>
      </c>
      <c r="D97" s="7" t="s">
        <v>208</v>
      </c>
      <c r="E97" s="7" t="s">
        <v>182</v>
      </c>
      <c r="F97" s="7"/>
      <c r="G97" s="8">
        <f>G98</f>
        <v>1154</v>
      </c>
      <c r="H97" s="8">
        <f>H98</f>
        <v>232.4</v>
      </c>
    </row>
    <row r="98" spans="1:8" ht="29.25" customHeight="1" outlineLevel="1">
      <c r="A98" s="15" t="s">
        <v>467</v>
      </c>
      <c r="B98" s="14" t="s">
        <v>273</v>
      </c>
      <c r="C98" s="7" t="s">
        <v>195</v>
      </c>
      <c r="D98" s="7" t="s">
        <v>208</v>
      </c>
      <c r="E98" s="7" t="s">
        <v>182</v>
      </c>
      <c r="F98" s="7" t="s">
        <v>466</v>
      </c>
      <c r="G98" s="8">
        <v>1154</v>
      </c>
      <c r="H98" s="8">
        <f>232.4</f>
        <v>232.4</v>
      </c>
    </row>
    <row r="99" spans="1:8" ht="15.75" customHeight="1" outlineLevel="1">
      <c r="A99" s="17" t="s">
        <v>4</v>
      </c>
      <c r="B99" s="30" t="s">
        <v>273</v>
      </c>
      <c r="C99" s="6" t="s">
        <v>196</v>
      </c>
      <c r="D99" s="6" t="s">
        <v>194</v>
      </c>
      <c r="E99" s="6"/>
      <c r="F99" s="6"/>
      <c r="G99" s="4">
        <f>G100+G104+G131+G135</f>
        <v>209168.89999999997</v>
      </c>
      <c r="H99" s="4">
        <f>H100+H104+H131+H135</f>
        <v>33744.4</v>
      </c>
    </row>
    <row r="100" spans="1:8" ht="15.75" customHeight="1" outlineLevel="1">
      <c r="A100" s="37" t="s">
        <v>141</v>
      </c>
      <c r="B100" s="14" t="s">
        <v>273</v>
      </c>
      <c r="C100" s="7" t="s">
        <v>196</v>
      </c>
      <c r="D100" s="7" t="s">
        <v>193</v>
      </c>
      <c r="E100" s="31"/>
      <c r="F100" s="31"/>
      <c r="G100" s="8">
        <f aca="true" t="shared" si="2" ref="G100:H102">G101</f>
        <v>550</v>
      </c>
      <c r="H100" s="8">
        <f t="shared" si="2"/>
        <v>0</v>
      </c>
    </row>
    <row r="101" spans="1:8" ht="30" customHeight="1" outlineLevel="1">
      <c r="A101" s="11" t="s">
        <v>142</v>
      </c>
      <c r="B101" s="14" t="s">
        <v>273</v>
      </c>
      <c r="C101" s="7" t="s">
        <v>196</v>
      </c>
      <c r="D101" s="7" t="s">
        <v>193</v>
      </c>
      <c r="E101" s="7" t="s">
        <v>143</v>
      </c>
      <c r="F101" s="7"/>
      <c r="G101" s="8">
        <f t="shared" si="2"/>
        <v>550</v>
      </c>
      <c r="H101" s="8">
        <f t="shared" si="2"/>
        <v>0</v>
      </c>
    </row>
    <row r="102" spans="1:8" ht="45" customHeight="1" outlineLevel="1">
      <c r="A102" s="11" t="s">
        <v>145</v>
      </c>
      <c r="B102" s="14" t="s">
        <v>273</v>
      </c>
      <c r="C102" s="7" t="s">
        <v>196</v>
      </c>
      <c r="D102" s="7" t="s">
        <v>193</v>
      </c>
      <c r="E102" s="7" t="s">
        <v>144</v>
      </c>
      <c r="F102" s="7"/>
      <c r="G102" s="8">
        <f t="shared" si="2"/>
        <v>550</v>
      </c>
      <c r="H102" s="8">
        <f t="shared" si="2"/>
        <v>0</v>
      </c>
    </row>
    <row r="103" spans="1:8" ht="28.5" customHeight="1" outlineLevel="1">
      <c r="A103" s="15" t="s">
        <v>467</v>
      </c>
      <c r="B103" s="14" t="s">
        <v>273</v>
      </c>
      <c r="C103" s="7" t="s">
        <v>196</v>
      </c>
      <c r="D103" s="7" t="s">
        <v>193</v>
      </c>
      <c r="E103" s="7" t="s">
        <v>144</v>
      </c>
      <c r="F103" s="7" t="s">
        <v>466</v>
      </c>
      <c r="G103" s="8">
        <v>550</v>
      </c>
      <c r="H103" s="8">
        <f>0</f>
        <v>0</v>
      </c>
    </row>
    <row r="104" spans="1:8" ht="32.25" customHeight="1" outlineLevel="1">
      <c r="A104" s="37" t="s">
        <v>367</v>
      </c>
      <c r="B104" s="14" t="s">
        <v>273</v>
      </c>
      <c r="C104" s="7" t="s">
        <v>196</v>
      </c>
      <c r="D104" s="7" t="s">
        <v>207</v>
      </c>
      <c r="E104" s="7"/>
      <c r="F104" s="7"/>
      <c r="G104" s="8">
        <f>G112+G125+G107</f>
        <v>206468.89999999997</v>
      </c>
      <c r="H104" s="8">
        <f>H112+H125+H107</f>
        <v>32124.600000000002</v>
      </c>
    </row>
    <row r="105" spans="1:8" ht="62.25" customHeight="1" hidden="1" outlineLevel="2">
      <c r="A105" s="11" t="s">
        <v>351</v>
      </c>
      <c r="B105" s="14" t="s">
        <v>273</v>
      </c>
      <c r="C105" s="7" t="s">
        <v>196</v>
      </c>
      <c r="D105" s="7" t="s">
        <v>207</v>
      </c>
      <c r="E105" s="7" t="s">
        <v>352</v>
      </c>
      <c r="F105" s="7"/>
      <c r="G105" s="8">
        <f>G106</f>
        <v>0</v>
      </c>
      <c r="H105" s="8">
        <f>H106</f>
        <v>0</v>
      </c>
    </row>
    <row r="106" spans="1:8" ht="28.5" customHeight="1" hidden="1" outlineLevel="2">
      <c r="A106" s="11" t="s">
        <v>35</v>
      </c>
      <c r="B106" s="14" t="s">
        <v>273</v>
      </c>
      <c r="C106" s="7" t="s">
        <v>196</v>
      </c>
      <c r="D106" s="7" t="s">
        <v>207</v>
      </c>
      <c r="E106" s="7" t="s">
        <v>352</v>
      </c>
      <c r="F106" s="7" t="s">
        <v>13</v>
      </c>
      <c r="G106" s="8">
        <v>0</v>
      </c>
      <c r="H106" s="8">
        <v>0</v>
      </c>
    </row>
    <row r="107" spans="1:8" ht="28.5" customHeight="1" outlineLevel="1" collapsed="1">
      <c r="A107" s="15" t="s">
        <v>451</v>
      </c>
      <c r="B107" s="14" t="s">
        <v>273</v>
      </c>
      <c r="C107" s="7" t="s">
        <v>196</v>
      </c>
      <c r="D107" s="7" t="s">
        <v>207</v>
      </c>
      <c r="E107" s="7" t="s">
        <v>450</v>
      </c>
      <c r="F107" s="7"/>
      <c r="G107" s="8">
        <f>G108+G110</f>
        <v>45317.8</v>
      </c>
      <c r="H107" s="8">
        <f>H108+H110</f>
        <v>0</v>
      </c>
    </row>
    <row r="108" spans="1:8" ht="87" customHeight="1" outlineLevel="1">
      <c r="A108" s="11" t="s">
        <v>375</v>
      </c>
      <c r="B108" s="14" t="s">
        <v>273</v>
      </c>
      <c r="C108" s="7" t="s">
        <v>196</v>
      </c>
      <c r="D108" s="7" t="s">
        <v>207</v>
      </c>
      <c r="E108" s="7" t="s">
        <v>376</v>
      </c>
      <c r="F108" s="7"/>
      <c r="G108" s="8">
        <f>G109</f>
        <v>25561.2</v>
      </c>
      <c r="H108" s="8">
        <f>H109</f>
        <v>0</v>
      </c>
    </row>
    <row r="109" spans="1:8" ht="28.5" customHeight="1" outlineLevel="1">
      <c r="A109" s="15" t="s">
        <v>467</v>
      </c>
      <c r="B109" s="14" t="s">
        <v>273</v>
      </c>
      <c r="C109" s="7" t="s">
        <v>196</v>
      </c>
      <c r="D109" s="7" t="s">
        <v>207</v>
      </c>
      <c r="E109" s="7" t="s">
        <v>376</v>
      </c>
      <c r="F109" s="7" t="s">
        <v>466</v>
      </c>
      <c r="G109" s="8">
        <v>25561.2</v>
      </c>
      <c r="H109" s="8">
        <v>0</v>
      </c>
    </row>
    <row r="110" spans="1:8" ht="60.75" customHeight="1" outlineLevel="1">
      <c r="A110" s="11" t="s">
        <v>377</v>
      </c>
      <c r="B110" s="14" t="s">
        <v>273</v>
      </c>
      <c r="C110" s="7" t="s">
        <v>196</v>
      </c>
      <c r="D110" s="7" t="s">
        <v>207</v>
      </c>
      <c r="E110" s="7" t="s">
        <v>378</v>
      </c>
      <c r="F110" s="7"/>
      <c r="G110" s="8">
        <f>G111</f>
        <v>19756.6</v>
      </c>
      <c r="H110" s="8">
        <f>H111</f>
        <v>0</v>
      </c>
    </row>
    <row r="111" spans="1:8" ht="33.75" customHeight="1" outlineLevel="1">
      <c r="A111" s="15" t="s">
        <v>467</v>
      </c>
      <c r="B111" s="14" t="s">
        <v>273</v>
      </c>
      <c r="C111" s="7" t="s">
        <v>196</v>
      </c>
      <c r="D111" s="7" t="s">
        <v>207</v>
      </c>
      <c r="E111" s="7" t="s">
        <v>378</v>
      </c>
      <c r="F111" s="7" t="s">
        <v>466</v>
      </c>
      <c r="G111" s="8">
        <v>19756.6</v>
      </c>
      <c r="H111" s="8">
        <v>0</v>
      </c>
    </row>
    <row r="112" spans="1:8" ht="18.75" customHeight="1" outlineLevel="1">
      <c r="A112" s="11" t="s">
        <v>368</v>
      </c>
      <c r="B112" s="14" t="s">
        <v>273</v>
      </c>
      <c r="C112" s="7" t="s">
        <v>196</v>
      </c>
      <c r="D112" s="7" t="s">
        <v>207</v>
      </c>
      <c r="E112" s="7" t="s">
        <v>60</v>
      </c>
      <c r="F112" s="7"/>
      <c r="G112" s="8">
        <f>G113</f>
        <v>76185</v>
      </c>
      <c r="H112" s="8">
        <f>H113</f>
        <v>25768.9</v>
      </c>
    </row>
    <row r="113" spans="1:8" ht="61.5" customHeight="1" outlineLevel="1">
      <c r="A113" s="15" t="s">
        <v>62</v>
      </c>
      <c r="B113" s="14" t="s">
        <v>273</v>
      </c>
      <c r="C113" s="7" t="s">
        <v>196</v>
      </c>
      <c r="D113" s="7" t="s">
        <v>207</v>
      </c>
      <c r="E113" s="7" t="s">
        <v>63</v>
      </c>
      <c r="F113" s="7"/>
      <c r="G113" s="8">
        <f>G114+G118+G120+G122+G116</f>
        <v>76185</v>
      </c>
      <c r="H113" s="8">
        <f>H114+H118+H120+H122+H116</f>
        <v>25768.9</v>
      </c>
    </row>
    <row r="114" spans="1:8" ht="32.25" customHeight="1" outlineLevel="1">
      <c r="A114" s="15" t="s">
        <v>454</v>
      </c>
      <c r="B114" s="14" t="s">
        <v>273</v>
      </c>
      <c r="C114" s="7" t="s">
        <v>196</v>
      </c>
      <c r="D114" s="7" t="s">
        <v>207</v>
      </c>
      <c r="E114" s="7" t="s">
        <v>65</v>
      </c>
      <c r="F114" s="7"/>
      <c r="G114" s="8">
        <f>G115</f>
        <v>34460</v>
      </c>
      <c r="H114" s="8">
        <f>H115</f>
        <v>21333.4</v>
      </c>
    </row>
    <row r="115" spans="1:8" ht="57.75" customHeight="1" outlineLevel="1">
      <c r="A115" s="15" t="s">
        <v>497</v>
      </c>
      <c r="B115" s="14" t="s">
        <v>273</v>
      </c>
      <c r="C115" s="7" t="s">
        <v>196</v>
      </c>
      <c r="D115" s="7" t="s">
        <v>207</v>
      </c>
      <c r="E115" s="7" t="s">
        <v>65</v>
      </c>
      <c r="F115" s="7" t="s">
        <v>496</v>
      </c>
      <c r="G115" s="8">
        <f>33960+500</f>
        <v>34460</v>
      </c>
      <c r="H115" s="8">
        <f>21333.4</f>
        <v>21333.4</v>
      </c>
    </row>
    <row r="116" spans="1:8" ht="46.5" customHeight="1" hidden="1" outlineLevel="1">
      <c r="A116" s="15" t="s">
        <v>455</v>
      </c>
      <c r="B116" s="14" t="s">
        <v>273</v>
      </c>
      <c r="C116" s="7" t="s">
        <v>196</v>
      </c>
      <c r="D116" s="7" t="s">
        <v>207</v>
      </c>
      <c r="E116" s="7" t="s">
        <v>395</v>
      </c>
      <c r="F116" s="7"/>
      <c r="G116" s="8">
        <f>G117</f>
        <v>0</v>
      </c>
      <c r="H116" s="8">
        <f>H117</f>
        <v>0</v>
      </c>
    </row>
    <row r="117" spans="1:8" ht="11.25" customHeight="1" hidden="1" outlineLevel="1">
      <c r="A117" s="15" t="s">
        <v>497</v>
      </c>
      <c r="B117" s="14" t="s">
        <v>273</v>
      </c>
      <c r="C117" s="7" t="s">
        <v>196</v>
      </c>
      <c r="D117" s="7" t="s">
        <v>207</v>
      </c>
      <c r="E117" s="7" t="s">
        <v>395</v>
      </c>
      <c r="F117" s="7" t="s">
        <v>496</v>
      </c>
      <c r="G117" s="8">
        <f>500-500</f>
        <v>0</v>
      </c>
      <c r="H117" s="8">
        <f>500-500</f>
        <v>0</v>
      </c>
    </row>
    <row r="118" spans="1:8" ht="19.5" customHeight="1" outlineLevel="1">
      <c r="A118" s="15" t="s">
        <v>457</v>
      </c>
      <c r="B118" s="14" t="s">
        <v>273</v>
      </c>
      <c r="C118" s="7" t="s">
        <v>196</v>
      </c>
      <c r="D118" s="7" t="s">
        <v>207</v>
      </c>
      <c r="E118" s="7" t="s">
        <v>64</v>
      </c>
      <c r="F118" s="7"/>
      <c r="G118" s="8">
        <f>G119</f>
        <v>11950</v>
      </c>
      <c r="H118" s="8">
        <f>H119</f>
        <v>3548.2</v>
      </c>
    </row>
    <row r="119" spans="1:8" ht="57" customHeight="1" outlineLevel="1">
      <c r="A119" s="15" t="s">
        <v>497</v>
      </c>
      <c r="B119" s="14" t="s">
        <v>273</v>
      </c>
      <c r="C119" s="7" t="s">
        <v>196</v>
      </c>
      <c r="D119" s="7" t="s">
        <v>207</v>
      </c>
      <c r="E119" s="7" t="s">
        <v>64</v>
      </c>
      <c r="F119" s="7" t="s">
        <v>496</v>
      </c>
      <c r="G119" s="8">
        <f>11550+400</f>
        <v>11950</v>
      </c>
      <c r="H119" s="8">
        <f>3548.2</f>
        <v>3548.2</v>
      </c>
    </row>
    <row r="120" spans="1:8" ht="33" customHeight="1" hidden="1" outlineLevel="1">
      <c r="A120" s="15" t="s">
        <v>456</v>
      </c>
      <c r="B120" s="14" t="s">
        <v>273</v>
      </c>
      <c r="C120" s="7" t="s">
        <v>196</v>
      </c>
      <c r="D120" s="7" t="s">
        <v>207</v>
      </c>
      <c r="E120" s="7" t="s">
        <v>164</v>
      </c>
      <c r="F120" s="7"/>
      <c r="G120" s="8">
        <f>G121</f>
        <v>0</v>
      </c>
      <c r="H120" s="8">
        <f>H121</f>
        <v>0</v>
      </c>
    </row>
    <row r="121" spans="1:8" ht="42" customHeight="1" hidden="1" outlineLevel="1">
      <c r="A121" s="15" t="s">
        <v>497</v>
      </c>
      <c r="B121" s="14" t="s">
        <v>273</v>
      </c>
      <c r="C121" s="7" t="s">
        <v>196</v>
      </c>
      <c r="D121" s="7" t="s">
        <v>207</v>
      </c>
      <c r="E121" s="7" t="s">
        <v>164</v>
      </c>
      <c r="F121" s="7" t="s">
        <v>496</v>
      </c>
      <c r="G121" s="8">
        <f>400-400</f>
        <v>0</v>
      </c>
      <c r="H121" s="8">
        <f>400-400</f>
        <v>0</v>
      </c>
    </row>
    <row r="122" spans="1:8" ht="16.5" customHeight="1" outlineLevel="1">
      <c r="A122" s="15" t="s">
        <v>252</v>
      </c>
      <c r="B122" s="14" t="s">
        <v>273</v>
      </c>
      <c r="C122" s="7" t="s">
        <v>196</v>
      </c>
      <c r="D122" s="7" t="s">
        <v>207</v>
      </c>
      <c r="E122" s="7" t="s">
        <v>264</v>
      </c>
      <c r="F122" s="7"/>
      <c r="G122" s="8">
        <f>G123+G124</f>
        <v>29775</v>
      </c>
      <c r="H122" s="8">
        <f>H123+H124</f>
        <v>887.3</v>
      </c>
    </row>
    <row r="123" spans="1:8" ht="45" customHeight="1" outlineLevel="1">
      <c r="A123" s="15" t="s">
        <v>513</v>
      </c>
      <c r="B123" s="14" t="s">
        <v>273</v>
      </c>
      <c r="C123" s="7" t="s">
        <v>196</v>
      </c>
      <c r="D123" s="7" t="s">
        <v>207</v>
      </c>
      <c r="E123" s="7" t="s">
        <v>264</v>
      </c>
      <c r="F123" s="7" t="s">
        <v>478</v>
      </c>
      <c r="G123" s="8">
        <v>2600</v>
      </c>
      <c r="H123" s="8">
        <v>0</v>
      </c>
    </row>
    <row r="124" spans="1:8" ht="28.5" customHeight="1" outlineLevel="1">
      <c r="A124" s="15" t="s">
        <v>467</v>
      </c>
      <c r="B124" s="14" t="s">
        <v>273</v>
      </c>
      <c r="C124" s="7" t="s">
        <v>196</v>
      </c>
      <c r="D124" s="7" t="s">
        <v>207</v>
      </c>
      <c r="E124" s="7" t="s">
        <v>264</v>
      </c>
      <c r="F124" s="7" t="s">
        <v>466</v>
      </c>
      <c r="G124" s="8">
        <f>10100+100+6500+125+10000+350</f>
        <v>27175</v>
      </c>
      <c r="H124" s="8">
        <f>887.3</f>
        <v>887.3</v>
      </c>
    </row>
    <row r="125" spans="1:8" ht="30.75" customHeight="1" outlineLevel="1">
      <c r="A125" s="15" t="s">
        <v>206</v>
      </c>
      <c r="B125" s="14" t="s">
        <v>273</v>
      </c>
      <c r="C125" s="7" t="s">
        <v>196</v>
      </c>
      <c r="D125" s="7" t="s">
        <v>207</v>
      </c>
      <c r="E125" s="7" t="s">
        <v>33</v>
      </c>
      <c r="F125" s="7"/>
      <c r="G125" s="8">
        <f>G126+G128</f>
        <v>84966.09999999999</v>
      </c>
      <c r="H125" s="8">
        <f>H126+H128</f>
        <v>6355.7</v>
      </c>
    </row>
    <row r="126" spans="1:8" ht="89.25" customHeight="1" outlineLevel="1">
      <c r="A126" s="15" t="s">
        <v>397</v>
      </c>
      <c r="B126" s="14" t="s">
        <v>273</v>
      </c>
      <c r="C126" s="7" t="s">
        <v>196</v>
      </c>
      <c r="D126" s="7" t="s">
        <v>207</v>
      </c>
      <c r="E126" s="7" t="s">
        <v>180</v>
      </c>
      <c r="F126" s="7"/>
      <c r="G126" s="8">
        <f>G127</f>
        <v>60633.399999999994</v>
      </c>
      <c r="H126" s="8">
        <f>H127</f>
        <v>6355.7</v>
      </c>
    </row>
    <row r="127" spans="1:8" ht="33" customHeight="1" outlineLevel="1">
      <c r="A127" s="15" t="s">
        <v>467</v>
      </c>
      <c r="B127" s="14" t="s">
        <v>273</v>
      </c>
      <c r="C127" s="7" t="s">
        <v>196</v>
      </c>
      <c r="D127" s="7" t="s">
        <v>207</v>
      </c>
      <c r="E127" s="7" t="s">
        <v>180</v>
      </c>
      <c r="F127" s="7" t="s">
        <v>466</v>
      </c>
      <c r="G127" s="8">
        <f>14060+6365.3+30208.1+10000</f>
        <v>60633.399999999994</v>
      </c>
      <c r="H127" s="8">
        <f>6355.7</f>
        <v>6355.7</v>
      </c>
    </row>
    <row r="128" spans="1:8" ht="105" customHeight="1" outlineLevel="1">
      <c r="A128" s="15" t="s">
        <v>495</v>
      </c>
      <c r="B128" s="14" t="s">
        <v>273</v>
      </c>
      <c r="C128" s="7" t="s">
        <v>196</v>
      </c>
      <c r="D128" s="7" t="s">
        <v>207</v>
      </c>
      <c r="E128" s="7" t="s">
        <v>179</v>
      </c>
      <c r="F128" s="7"/>
      <c r="G128" s="8">
        <f>G129</f>
        <v>24332.7</v>
      </c>
      <c r="H128" s="8">
        <f>H129</f>
        <v>0</v>
      </c>
    </row>
    <row r="129" spans="1:8" ht="33" customHeight="1" outlineLevel="1">
      <c r="A129" s="15" t="s">
        <v>467</v>
      </c>
      <c r="B129" s="14" t="s">
        <v>273</v>
      </c>
      <c r="C129" s="7" t="s">
        <v>196</v>
      </c>
      <c r="D129" s="7" t="s">
        <v>207</v>
      </c>
      <c r="E129" s="7" t="s">
        <v>179</v>
      </c>
      <c r="F129" s="7" t="s">
        <v>466</v>
      </c>
      <c r="G129" s="8">
        <v>24332.7</v>
      </c>
      <c r="H129" s="8">
        <v>0</v>
      </c>
    </row>
    <row r="130" spans="1:8" ht="33" customHeight="1" outlineLevel="1">
      <c r="A130" s="15" t="s">
        <v>524</v>
      </c>
      <c r="B130" s="14" t="s">
        <v>273</v>
      </c>
      <c r="C130" s="7" t="s">
        <v>196</v>
      </c>
      <c r="D130" s="7" t="s">
        <v>207</v>
      </c>
      <c r="E130" s="7" t="s">
        <v>179</v>
      </c>
      <c r="F130" s="7" t="s">
        <v>466</v>
      </c>
      <c r="G130" s="8">
        <v>1500</v>
      </c>
      <c r="H130" s="8">
        <v>0</v>
      </c>
    </row>
    <row r="131" spans="1:8" ht="17.25" customHeight="1" outlineLevel="1">
      <c r="A131" s="18" t="s">
        <v>112</v>
      </c>
      <c r="B131" s="14" t="s">
        <v>273</v>
      </c>
      <c r="C131" s="7" t="s">
        <v>196</v>
      </c>
      <c r="D131" s="7" t="s">
        <v>208</v>
      </c>
      <c r="E131" s="7"/>
      <c r="F131" s="7"/>
      <c r="G131" s="8">
        <f aca="true" t="shared" si="3" ref="G131:H133">G132</f>
        <v>180</v>
      </c>
      <c r="H131" s="8">
        <f t="shared" si="3"/>
        <v>17.3</v>
      </c>
    </row>
    <row r="132" spans="1:8" ht="15.75" customHeight="1" outlineLevel="1">
      <c r="A132" s="15" t="s">
        <v>41</v>
      </c>
      <c r="B132" s="14" t="s">
        <v>273</v>
      </c>
      <c r="C132" s="7" t="s">
        <v>196</v>
      </c>
      <c r="D132" s="7" t="s">
        <v>208</v>
      </c>
      <c r="E132" s="7" t="s">
        <v>42</v>
      </c>
      <c r="F132" s="7"/>
      <c r="G132" s="8">
        <f t="shared" si="3"/>
        <v>180</v>
      </c>
      <c r="H132" s="8">
        <f t="shared" si="3"/>
        <v>17.3</v>
      </c>
    </row>
    <row r="133" spans="1:8" ht="45" customHeight="1" outlineLevel="1">
      <c r="A133" s="15" t="s">
        <v>43</v>
      </c>
      <c r="B133" s="14" t="s">
        <v>273</v>
      </c>
      <c r="C133" s="7" t="s">
        <v>196</v>
      </c>
      <c r="D133" s="7" t="s">
        <v>208</v>
      </c>
      <c r="E133" s="7" t="s">
        <v>44</v>
      </c>
      <c r="F133" s="7"/>
      <c r="G133" s="8">
        <f t="shared" si="3"/>
        <v>180</v>
      </c>
      <c r="H133" s="8">
        <f t="shared" si="3"/>
        <v>17.3</v>
      </c>
    </row>
    <row r="134" spans="1:8" ht="43.5" customHeight="1" outlineLevel="1">
      <c r="A134" s="15" t="s">
        <v>484</v>
      </c>
      <c r="B134" s="14" t="s">
        <v>273</v>
      </c>
      <c r="C134" s="7" t="s">
        <v>196</v>
      </c>
      <c r="D134" s="7" t="s">
        <v>208</v>
      </c>
      <c r="E134" s="7" t="s">
        <v>44</v>
      </c>
      <c r="F134" s="7" t="s">
        <v>483</v>
      </c>
      <c r="G134" s="8">
        <v>180</v>
      </c>
      <c r="H134" s="8">
        <f>17.3</f>
        <v>17.3</v>
      </c>
    </row>
    <row r="135" spans="1:8" ht="30" customHeight="1" outlineLevel="1">
      <c r="A135" s="18" t="s">
        <v>113</v>
      </c>
      <c r="B135" s="14" t="s">
        <v>273</v>
      </c>
      <c r="C135" s="7" t="s">
        <v>196</v>
      </c>
      <c r="D135" s="7" t="s">
        <v>209</v>
      </c>
      <c r="E135" s="7"/>
      <c r="F135" s="7"/>
      <c r="G135" s="8">
        <f>G136+G138</f>
        <v>1970</v>
      </c>
      <c r="H135" s="8">
        <f>H136+H138</f>
        <v>1602.5</v>
      </c>
    </row>
    <row r="136" spans="1:8" ht="72.75" customHeight="1" outlineLevel="1">
      <c r="A136" s="15" t="s">
        <v>387</v>
      </c>
      <c r="B136" s="14" t="s">
        <v>273</v>
      </c>
      <c r="C136" s="7" t="s">
        <v>196</v>
      </c>
      <c r="D136" s="7" t="s">
        <v>209</v>
      </c>
      <c r="E136" s="7" t="s">
        <v>388</v>
      </c>
      <c r="F136" s="7"/>
      <c r="G136" s="8">
        <f>G137</f>
        <v>1200</v>
      </c>
      <c r="H136" s="8">
        <f>H137</f>
        <v>1200</v>
      </c>
    </row>
    <row r="137" spans="1:8" ht="30" customHeight="1" outlineLevel="1">
      <c r="A137" s="15" t="s">
        <v>467</v>
      </c>
      <c r="B137" s="14" t="s">
        <v>273</v>
      </c>
      <c r="C137" s="7" t="s">
        <v>196</v>
      </c>
      <c r="D137" s="7" t="s">
        <v>209</v>
      </c>
      <c r="E137" s="7" t="s">
        <v>388</v>
      </c>
      <c r="F137" s="7" t="s">
        <v>466</v>
      </c>
      <c r="G137" s="8">
        <f>1500-300</f>
        <v>1200</v>
      </c>
      <c r="H137" s="8">
        <f>1500-300</f>
        <v>1200</v>
      </c>
    </row>
    <row r="138" spans="1:8" ht="30" customHeight="1" outlineLevel="1">
      <c r="A138" s="15" t="s">
        <v>206</v>
      </c>
      <c r="B138" s="14" t="s">
        <v>273</v>
      </c>
      <c r="C138" s="7" t="s">
        <v>196</v>
      </c>
      <c r="D138" s="7" t="s">
        <v>209</v>
      </c>
      <c r="E138" s="7" t="s">
        <v>33</v>
      </c>
      <c r="F138" s="7"/>
      <c r="G138" s="8">
        <f>G139</f>
        <v>770</v>
      </c>
      <c r="H138" s="8">
        <f>H139</f>
        <v>402.5</v>
      </c>
    </row>
    <row r="139" spans="1:8" ht="59.25" customHeight="1" outlineLevel="1">
      <c r="A139" s="15" t="s">
        <v>210</v>
      </c>
      <c r="B139" s="14" t="s">
        <v>273</v>
      </c>
      <c r="C139" s="7" t="s">
        <v>196</v>
      </c>
      <c r="D139" s="7" t="s">
        <v>209</v>
      </c>
      <c r="E139" s="7" t="s">
        <v>183</v>
      </c>
      <c r="F139" s="7"/>
      <c r="G139" s="8">
        <f>G140+G141</f>
        <v>770</v>
      </c>
      <c r="H139" s="8">
        <f>H140+H141</f>
        <v>402.5</v>
      </c>
    </row>
    <row r="140" spans="1:8" ht="58.5" customHeight="1" outlineLevel="1">
      <c r="A140" s="15" t="s">
        <v>497</v>
      </c>
      <c r="B140" s="14" t="s">
        <v>273</v>
      </c>
      <c r="C140" s="7" t="s">
        <v>196</v>
      </c>
      <c r="D140" s="7" t="s">
        <v>209</v>
      </c>
      <c r="E140" s="7" t="s">
        <v>183</v>
      </c>
      <c r="F140" s="7" t="s">
        <v>496</v>
      </c>
      <c r="G140" s="8">
        <v>300</v>
      </c>
      <c r="H140" s="8">
        <v>300</v>
      </c>
    </row>
    <row r="141" spans="1:8" ht="32.25" customHeight="1" outlineLevel="1">
      <c r="A141" s="15" t="s">
        <v>467</v>
      </c>
      <c r="B141" s="14" t="s">
        <v>273</v>
      </c>
      <c r="C141" s="7" t="s">
        <v>196</v>
      </c>
      <c r="D141" s="7" t="s">
        <v>209</v>
      </c>
      <c r="E141" s="7" t="s">
        <v>183</v>
      </c>
      <c r="F141" s="7" t="s">
        <v>466</v>
      </c>
      <c r="G141" s="8">
        <v>470</v>
      </c>
      <c r="H141" s="8">
        <f>102.5</f>
        <v>102.5</v>
      </c>
    </row>
    <row r="142" spans="1:8" ht="21.75" customHeight="1" outlineLevel="1">
      <c r="A142" s="17" t="s">
        <v>5</v>
      </c>
      <c r="B142" s="30" t="s">
        <v>273</v>
      </c>
      <c r="C142" s="6" t="s">
        <v>211</v>
      </c>
      <c r="D142" s="6" t="s">
        <v>194</v>
      </c>
      <c r="E142" s="6"/>
      <c r="F142" s="6"/>
      <c r="G142" s="4">
        <f>G143+G172+G205</f>
        <v>227597.7</v>
      </c>
      <c r="H142" s="4">
        <f>H143+H172+H205</f>
        <v>48469.09999999999</v>
      </c>
    </row>
    <row r="143" spans="1:8" ht="19.5" customHeight="1" outlineLevel="1">
      <c r="A143" s="18" t="s">
        <v>135</v>
      </c>
      <c r="B143" s="14" t="s">
        <v>273</v>
      </c>
      <c r="C143" s="7" t="s">
        <v>211</v>
      </c>
      <c r="D143" s="7" t="s">
        <v>193</v>
      </c>
      <c r="E143" s="7"/>
      <c r="F143" s="7"/>
      <c r="G143" s="8">
        <f>G144+G147+G167</f>
        <v>51765.6</v>
      </c>
      <c r="H143" s="8">
        <f>H144+H147+H167</f>
        <v>8105.7</v>
      </c>
    </row>
    <row r="144" spans="1:8" ht="45.75" customHeight="1" outlineLevel="1">
      <c r="A144" s="15" t="s">
        <v>125</v>
      </c>
      <c r="B144" s="14" t="s">
        <v>273</v>
      </c>
      <c r="C144" s="7" t="s">
        <v>211</v>
      </c>
      <c r="D144" s="7" t="s">
        <v>193</v>
      </c>
      <c r="E144" s="7" t="s">
        <v>49</v>
      </c>
      <c r="F144" s="7"/>
      <c r="G144" s="8">
        <f>G145</f>
        <v>2082.5</v>
      </c>
      <c r="H144" s="8">
        <f>H145</f>
        <v>2082.5</v>
      </c>
    </row>
    <row r="145" spans="1:8" ht="44.25" customHeight="1" outlineLevel="1">
      <c r="A145" s="15" t="s">
        <v>212</v>
      </c>
      <c r="B145" s="14" t="s">
        <v>273</v>
      </c>
      <c r="C145" s="7" t="s">
        <v>211</v>
      </c>
      <c r="D145" s="7" t="s">
        <v>193</v>
      </c>
      <c r="E145" s="7" t="s">
        <v>31</v>
      </c>
      <c r="F145" s="7"/>
      <c r="G145" s="8">
        <f>G146</f>
        <v>2082.5</v>
      </c>
      <c r="H145" s="8">
        <f>H146</f>
        <v>2082.5</v>
      </c>
    </row>
    <row r="146" spans="1:8" ht="29.25" customHeight="1" outlineLevel="1">
      <c r="A146" s="15" t="s">
        <v>499</v>
      </c>
      <c r="B146" s="14" t="s">
        <v>273</v>
      </c>
      <c r="C146" s="7" t="s">
        <v>211</v>
      </c>
      <c r="D146" s="7" t="s">
        <v>193</v>
      </c>
      <c r="E146" s="7" t="s">
        <v>31</v>
      </c>
      <c r="F146" s="7" t="s">
        <v>498</v>
      </c>
      <c r="G146" s="8">
        <f>2092.5-10</f>
        <v>2082.5</v>
      </c>
      <c r="H146" s="8">
        <f>2092.5-10</f>
        <v>2082.5</v>
      </c>
    </row>
    <row r="147" spans="1:8" ht="14.25" customHeight="1" outlineLevel="1">
      <c r="A147" s="15" t="s">
        <v>50</v>
      </c>
      <c r="B147" s="14" t="s">
        <v>273</v>
      </c>
      <c r="C147" s="7" t="s">
        <v>211</v>
      </c>
      <c r="D147" s="7" t="s">
        <v>193</v>
      </c>
      <c r="E147" s="7" t="s">
        <v>51</v>
      </c>
      <c r="F147" s="7"/>
      <c r="G147" s="8">
        <f>G149+G151+G157+G152</f>
        <v>49683.1</v>
      </c>
      <c r="H147" s="8">
        <f>H149+H151+H157+H152</f>
        <v>6023.2</v>
      </c>
    </row>
    <row r="148" spans="1:8" ht="210.75" customHeight="1" outlineLevel="1">
      <c r="A148" s="11" t="s">
        <v>427</v>
      </c>
      <c r="B148" s="14" t="s">
        <v>273</v>
      </c>
      <c r="C148" s="7" t="s">
        <v>211</v>
      </c>
      <c r="D148" s="7" t="s">
        <v>193</v>
      </c>
      <c r="E148" s="7" t="s">
        <v>170</v>
      </c>
      <c r="F148" s="7"/>
      <c r="G148" s="8">
        <f>G149</f>
        <v>6756.4</v>
      </c>
      <c r="H148" s="8">
        <f>H149</f>
        <v>2787.1</v>
      </c>
    </row>
    <row r="149" spans="1:8" ht="58.5" customHeight="1" outlineLevel="1">
      <c r="A149" s="15" t="s">
        <v>497</v>
      </c>
      <c r="B149" s="14" t="s">
        <v>273</v>
      </c>
      <c r="C149" s="7" t="s">
        <v>211</v>
      </c>
      <c r="D149" s="7" t="s">
        <v>193</v>
      </c>
      <c r="E149" s="7" t="s">
        <v>170</v>
      </c>
      <c r="F149" s="7" t="s">
        <v>496</v>
      </c>
      <c r="G149" s="8">
        <f>5000+1285.7+470.7</f>
        <v>6756.4</v>
      </c>
      <c r="H149" s="8">
        <f>2787.1</f>
        <v>2787.1</v>
      </c>
    </row>
    <row r="150" spans="1:8" ht="43.5" customHeight="1" outlineLevel="1">
      <c r="A150" s="15" t="s">
        <v>458</v>
      </c>
      <c r="B150" s="14" t="s">
        <v>273</v>
      </c>
      <c r="C150" s="7" t="s">
        <v>211</v>
      </c>
      <c r="D150" s="7" t="s">
        <v>193</v>
      </c>
      <c r="E150" s="7" t="s">
        <v>213</v>
      </c>
      <c r="F150" s="7"/>
      <c r="G150" s="8">
        <f>G151</f>
        <v>1000</v>
      </c>
      <c r="H150" s="8">
        <f>H151</f>
        <v>0</v>
      </c>
    </row>
    <row r="151" spans="1:8" ht="42.75" customHeight="1" outlineLevel="1">
      <c r="A151" s="15" t="s">
        <v>497</v>
      </c>
      <c r="B151" s="14" t="s">
        <v>273</v>
      </c>
      <c r="C151" s="7" t="s">
        <v>211</v>
      </c>
      <c r="D151" s="7" t="s">
        <v>193</v>
      </c>
      <c r="E151" s="7" t="s">
        <v>213</v>
      </c>
      <c r="F151" s="7" t="s">
        <v>496</v>
      </c>
      <c r="G151" s="8">
        <v>1000</v>
      </c>
      <c r="H151" s="8">
        <f>0</f>
        <v>0</v>
      </c>
    </row>
    <row r="152" spans="1:8" ht="27.75" customHeight="1" outlineLevel="1">
      <c r="A152" s="15" t="s">
        <v>459</v>
      </c>
      <c r="B152" s="14" t="s">
        <v>273</v>
      </c>
      <c r="C152" s="7" t="s">
        <v>211</v>
      </c>
      <c r="D152" s="7" t="s">
        <v>193</v>
      </c>
      <c r="E152" s="7" t="s">
        <v>119</v>
      </c>
      <c r="F152" s="7"/>
      <c r="G152" s="8">
        <f>G154+G156</f>
        <v>17000</v>
      </c>
      <c r="H152" s="8">
        <f>H154+H156</f>
        <v>1520.2</v>
      </c>
    </row>
    <row r="153" spans="1:8" ht="150.75" customHeight="1" outlineLevel="1">
      <c r="A153" s="15" t="s">
        <v>444</v>
      </c>
      <c r="B153" s="14" t="s">
        <v>273</v>
      </c>
      <c r="C153" s="7" t="s">
        <v>211</v>
      </c>
      <c r="D153" s="7" t="s">
        <v>193</v>
      </c>
      <c r="E153" s="7" t="s">
        <v>285</v>
      </c>
      <c r="F153" s="7"/>
      <c r="G153" s="8">
        <f>G154</f>
        <v>17000</v>
      </c>
      <c r="H153" s="8">
        <f>H154</f>
        <v>1520.2</v>
      </c>
    </row>
    <row r="154" spans="1:8" ht="61.5" customHeight="1" outlineLevel="1">
      <c r="A154" s="15" t="s">
        <v>497</v>
      </c>
      <c r="B154" s="14" t="s">
        <v>273</v>
      </c>
      <c r="C154" s="7" t="s">
        <v>211</v>
      </c>
      <c r="D154" s="7" t="s">
        <v>193</v>
      </c>
      <c r="E154" s="7" t="s">
        <v>285</v>
      </c>
      <c r="F154" s="7" t="s">
        <v>496</v>
      </c>
      <c r="G154" s="8">
        <f>13000+4000</f>
        <v>17000</v>
      </c>
      <c r="H154" s="8">
        <f>1520.2</f>
        <v>1520.2</v>
      </c>
    </row>
    <row r="155" spans="1:8" ht="29.25" customHeight="1" hidden="1" outlineLevel="2">
      <c r="A155" s="15" t="s">
        <v>369</v>
      </c>
      <c r="B155" s="14" t="s">
        <v>273</v>
      </c>
      <c r="C155" s="7" t="s">
        <v>211</v>
      </c>
      <c r="D155" s="7" t="s">
        <v>193</v>
      </c>
      <c r="E155" s="7" t="s">
        <v>286</v>
      </c>
      <c r="F155" s="7"/>
      <c r="G155" s="8">
        <f>G156</f>
        <v>0</v>
      </c>
      <c r="H155" s="8">
        <f>H156</f>
        <v>0</v>
      </c>
    </row>
    <row r="156" spans="1:8" ht="30" customHeight="1" hidden="1" outlineLevel="2">
      <c r="A156" s="15" t="s">
        <v>35</v>
      </c>
      <c r="B156" s="14" t="s">
        <v>273</v>
      </c>
      <c r="C156" s="7" t="s">
        <v>211</v>
      </c>
      <c r="D156" s="7" t="s">
        <v>193</v>
      </c>
      <c r="E156" s="7" t="s">
        <v>286</v>
      </c>
      <c r="F156" s="7" t="s">
        <v>13</v>
      </c>
      <c r="G156" s="8">
        <v>0</v>
      </c>
      <c r="H156" s="8">
        <v>0</v>
      </c>
    </row>
    <row r="157" spans="1:8" ht="33.75" customHeight="1" outlineLevel="1" collapsed="1">
      <c r="A157" s="15" t="s">
        <v>128</v>
      </c>
      <c r="B157" s="14" t="s">
        <v>273</v>
      </c>
      <c r="C157" s="7" t="s">
        <v>211</v>
      </c>
      <c r="D157" s="7" t="s">
        <v>193</v>
      </c>
      <c r="E157" s="7" t="s">
        <v>122</v>
      </c>
      <c r="F157" s="7"/>
      <c r="G157" s="8">
        <f>G158+G161+G163+G165+G170</f>
        <v>24926.7</v>
      </c>
      <c r="H157" s="8">
        <f>H158+H161+H163+H165+H170</f>
        <v>1715.8999999999999</v>
      </c>
    </row>
    <row r="158" spans="1:8" ht="43.5" customHeight="1" outlineLevel="1">
      <c r="A158" s="11" t="s">
        <v>460</v>
      </c>
      <c r="B158" s="14" t="s">
        <v>273</v>
      </c>
      <c r="C158" s="7" t="s">
        <v>211</v>
      </c>
      <c r="D158" s="7" t="s">
        <v>193</v>
      </c>
      <c r="E158" s="7" t="s">
        <v>120</v>
      </c>
      <c r="F158" s="7"/>
      <c r="G158" s="8">
        <f>G159+G160</f>
        <v>3650</v>
      </c>
      <c r="H158" s="8">
        <f>H159+H160</f>
        <v>255.3</v>
      </c>
    </row>
    <row r="159" spans="1:8" ht="30" customHeight="1" outlineLevel="1">
      <c r="A159" s="15" t="s">
        <v>467</v>
      </c>
      <c r="B159" s="14" t="s">
        <v>273</v>
      </c>
      <c r="C159" s="7" t="s">
        <v>211</v>
      </c>
      <c r="D159" s="7" t="s">
        <v>193</v>
      </c>
      <c r="E159" s="7" t="s">
        <v>120</v>
      </c>
      <c r="F159" s="7" t="s">
        <v>466</v>
      </c>
      <c r="G159" s="8">
        <f>150+4000-4000</f>
        <v>150</v>
      </c>
      <c r="H159" s="8">
        <f>120.3</f>
        <v>120.3</v>
      </c>
    </row>
    <row r="160" spans="1:8" ht="60.75" customHeight="1" outlineLevel="1">
      <c r="A160" s="15" t="s">
        <v>497</v>
      </c>
      <c r="B160" s="14" t="s">
        <v>273</v>
      </c>
      <c r="C160" s="7" t="s">
        <v>211</v>
      </c>
      <c r="D160" s="7" t="s">
        <v>193</v>
      </c>
      <c r="E160" s="7" t="s">
        <v>120</v>
      </c>
      <c r="F160" s="7" t="s">
        <v>496</v>
      </c>
      <c r="G160" s="8">
        <v>3500</v>
      </c>
      <c r="H160" s="8">
        <f>135</f>
        <v>135</v>
      </c>
    </row>
    <row r="161" spans="1:8" ht="30" customHeight="1" outlineLevel="1">
      <c r="A161" s="15" t="s">
        <v>453</v>
      </c>
      <c r="B161" s="14" t="s">
        <v>273</v>
      </c>
      <c r="C161" s="7" t="s">
        <v>211</v>
      </c>
      <c r="D161" s="7" t="s">
        <v>193</v>
      </c>
      <c r="E161" s="7" t="s">
        <v>121</v>
      </c>
      <c r="F161" s="7"/>
      <c r="G161" s="8">
        <f>G162</f>
        <v>2976.7</v>
      </c>
      <c r="H161" s="8">
        <f>H162</f>
        <v>1325.6</v>
      </c>
    </row>
    <row r="162" spans="1:8" ht="42.75" customHeight="1" outlineLevel="1">
      <c r="A162" s="15" t="s">
        <v>497</v>
      </c>
      <c r="B162" s="14" t="s">
        <v>273</v>
      </c>
      <c r="C162" s="7" t="s">
        <v>211</v>
      </c>
      <c r="D162" s="7" t="s">
        <v>193</v>
      </c>
      <c r="E162" s="7" t="s">
        <v>121</v>
      </c>
      <c r="F162" s="7" t="s">
        <v>496</v>
      </c>
      <c r="G162" s="8">
        <f>2770.7+206</f>
        <v>2976.7</v>
      </c>
      <c r="H162" s="8">
        <f>1325.6</f>
        <v>1325.6</v>
      </c>
    </row>
    <row r="163" spans="1:8" ht="74.25" customHeight="1" hidden="1" outlineLevel="2">
      <c r="A163" s="15" t="s">
        <v>384</v>
      </c>
      <c r="B163" s="14" t="s">
        <v>273</v>
      </c>
      <c r="C163" s="7" t="s">
        <v>211</v>
      </c>
      <c r="D163" s="7" t="s">
        <v>193</v>
      </c>
      <c r="E163" s="7" t="s">
        <v>383</v>
      </c>
      <c r="F163" s="7"/>
      <c r="G163" s="8">
        <f>G164</f>
        <v>0</v>
      </c>
      <c r="H163" s="8">
        <f>H164</f>
        <v>0</v>
      </c>
    </row>
    <row r="164" spans="1:8" ht="18.75" customHeight="1" hidden="1" outlineLevel="2">
      <c r="A164" s="15" t="s">
        <v>123</v>
      </c>
      <c r="B164" s="14" t="s">
        <v>273</v>
      </c>
      <c r="C164" s="7" t="s">
        <v>211</v>
      </c>
      <c r="D164" s="7" t="s">
        <v>193</v>
      </c>
      <c r="E164" s="7" t="s">
        <v>383</v>
      </c>
      <c r="F164" s="7" t="s">
        <v>34</v>
      </c>
      <c r="G164" s="8">
        <v>0</v>
      </c>
      <c r="H164" s="8">
        <v>0</v>
      </c>
    </row>
    <row r="165" spans="1:8" ht="72.75" customHeight="1" outlineLevel="1" collapsed="1">
      <c r="A165" s="41" t="s">
        <v>410</v>
      </c>
      <c r="B165" s="14" t="s">
        <v>273</v>
      </c>
      <c r="C165" s="7" t="s">
        <v>211</v>
      </c>
      <c r="D165" s="7" t="s">
        <v>193</v>
      </c>
      <c r="E165" s="7" t="s">
        <v>396</v>
      </c>
      <c r="F165" s="7"/>
      <c r="G165" s="8">
        <f>G166</f>
        <v>16000</v>
      </c>
      <c r="H165" s="8">
        <f>H166</f>
        <v>135</v>
      </c>
    </row>
    <row r="166" spans="1:8" ht="58.5" customHeight="1" outlineLevel="1">
      <c r="A166" s="15" t="s">
        <v>497</v>
      </c>
      <c r="B166" s="14" t="s">
        <v>273</v>
      </c>
      <c r="C166" s="7" t="s">
        <v>211</v>
      </c>
      <c r="D166" s="7" t="s">
        <v>193</v>
      </c>
      <c r="E166" s="7" t="s">
        <v>396</v>
      </c>
      <c r="F166" s="7" t="s">
        <v>496</v>
      </c>
      <c r="G166" s="8">
        <v>16000</v>
      </c>
      <c r="H166" s="8">
        <f>135</f>
        <v>135</v>
      </c>
    </row>
    <row r="167" spans="1:8" ht="33.75" customHeight="1" hidden="1" outlineLevel="1">
      <c r="A167" s="15" t="s">
        <v>206</v>
      </c>
      <c r="B167" s="14" t="s">
        <v>273</v>
      </c>
      <c r="C167" s="7" t="s">
        <v>211</v>
      </c>
      <c r="D167" s="7" t="s">
        <v>193</v>
      </c>
      <c r="E167" s="7" t="s">
        <v>33</v>
      </c>
      <c r="F167" s="7"/>
      <c r="G167" s="8">
        <f>G169</f>
        <v>0</v>
      </c>
      <c r="H167" s="8">
        <f>H169</f>
        <v>0</v>
      </c>
    </row>
    <row r="168" spans="1:8" ht="57.75" customHeight="1" hidden="1" outlineLevel="1">
      <c r="A168" s="15" t="s">
        <v>278</v>
      </c>
      <c r="B168" s="14" t="s">
        <v>273</v>
      </c>
      <c r="C168" s="7" t="s">
        <v>211</v>
      </c>
      <c r="D168" s="7" t="s">
        <v>193</v>
      </c>
      <c r="E168" s="7" t="s">
        <v>185</v>
      </c>
      <c r="F168" s="7"/>
      <c r="G168" s="8">
        <f>G169</f>
        <v>0</v>
      </c>
      <c r="H168" s="8">
        <f>H169</f>
        <v>0</v>
      </c>
    </row>
    <row r="169" spans="1:8" ht="17.25" customHeight="1" hidden="1" outlineLevel="1">
      <c r="A169" s="15" t="s">
        <v>45</v>
      </c>
      <c r="B169" s="14" t="s">
        <v>273</v>
      </c>
      <c r="C169" s="7" t="s">
        <v>211</v>
      </c>
      <c r="D169" s="7" t="s">
        <v>193</v>
      </c>
      <c r="E169" s="7" t="s">
        <v>185</v>
      </c>
      <c r="F169" s="7" t="s">
        <v>34</v>
      </c>
      <c r="G169" s="8">
        <v>0</v>
      </c>
      <c r="H169" s="8">
        <v>0</v>
      </c>
    </row>
    <row r="170" spans="1:8" ht="30.75" customHeight="1" outlineLevel="1">
      <c r="A170" s="48" t="s">
        <v>514</v>
      </c>
      <c r="B170" s="14" t="s">
        <v>273</v>
      </c>
      <c r="C170" s="7" t="s">
        <v>211</v>
      </c>
      <c r="D170" s="7" t="s">
        <v>193</v>
      </c>
      <c r="E170" s="7" t="s">
        <v>502</v>
      </c>
      <c r="F170" s="7"/>
      <c r="G170" s="8">
        <f>G171</f>
        <v>2300</v>
      </c>
      <c r="H170" s="8">
        <f>H171</f>
        <v>0</v>
      </c>
    </row>
    <row r="171" spans="1:8" ht="18.75" customHeight="1" outlineLevel="1">
      <c r="A171" s="48" t="s">
        <v>500</v>
      </c>
      <c r="B171" s="14" t="s">
        <v>273</v>
      </c>
      <c r="C171" s="7" t="s">
        <v>211</v>
      </c>
      <c r="D171" s="7" t="s">
        <v>193</v>
      </c>
      <c r="E171" s="7" t="s">
        <v>502</v>
      </c>
      <c r="F171" s="7" t="s">
        <v>501</v>
      </c>
      <c r="G171" s="8">
        <v>2300</v>
      </c>
      <c r="H171" s="8">
        <v>0</v>
      </c>
    </row>
    <row r="172" spans="1:8" ht="19.5" customHeight="1" outlineLevel="1">
      <c r="A172" s="18" t="s">
        <v>136</v>
      </c>
      <c r="B172" s="14" t="s">
        <v>273</v>
      </c>
      <c r="C172" s="7" t="s">
        <v>211</v>
      </c>
      <c r="D172" s="7" t="s">
        <v>214</v>
      </c>
      <c r="E172" s="7"/>
      <c r="F172" s="7"/>
      <c r="G172" s="8">
        <f>G173+G176+G194+G196</f>
        <v>71284</v>
      </c>
      <c r="H172" s="8">
        <f>H173+H176+H194+H196</f>
        <v>2619.1000000000004</v>
      </c>
    </row>
    <row r="173" spans="1:8" ht="45.75" customHeight="1" outlineLevel="1">
      <c r="A173" s="15" t="s">
        <v>52</v>
      </c>
      <c r="B173" s="14" t="s">
        <v>273</v>
      </c>
      <c r="C173" s="7" t="s">
        <v>211</v>
      </c>
      <c r="D173" s="7" t="s">
        <v>214</v>
      </c>
      <c r="E173" s="7" t="s">
        <v>49</v>
      </c>
      <c r="F173" s="7"/>
      <c r="G173" s="8">
        <f>G174</f>
        <v>29042</v>
      </c>
      <c r="H173" s="8">
        <f>H174</f>
        <v>0</v>
      </c>
    </row>
    <row r="174" spans="1:8" ht="45.75" customHeight="1" outlineLevel="1">
      <c r="A174" s="15" t="s">
        <v>59</v>
      </c>
      <c r="B174" s="14" t="s">
        <v>273</v>
      </c>
      <c r="C174" s="7" t="s">
        <v>211</v>
      </c>
      <c r="D174" s="7" t="s">
        <v>214</v>
      </c>
      <c r="E174" s="7" t="s">
        <v>31</v>
      </c>
      <c r="F174" s="7"/>
      <c r="G174" s="8">
        <f>G175</f>
        <v>29042</v>
      </c>
      <c r="H174" s="8">
        <f>H175</f>
        <v>0</v>
      </c>
    </row>
    <row r="175" spans="1:8" ht="45.75" customHeight="1" outlineLevel="1">
      <c r="A175" s="15" t="s">
        <v>504</v>
      </c>
      <c r="B175" s="14" t="s">
        <v>273</v>
      </c>
      <c r="C175" s="7" t="s">
        <v>211</v>
      </c>
      <c r="D175" s="7" t="s">
        <v>214</v>
      </c>
      <c r="E175" s="7" t="s">
        <v>31</v>
      </c>
      <c r="F175" s="7" t="s">
        <v>503</v>
      </c>
      <c r="G175" s="8">
        <f>5000+2662+780+600+20000</f>
        <v>29042</v>
      </c>
      <c r="H175" s="8">
        <v>0</v>
      </c>
    </row>
    <row r="176" spans="1:8" ht="16.5" customHeight="1" outlineLevel="1">
      <c r="A176" s="15" t="s">
        <v>54</v>
      </c>
      <c r="B176" s="14" t="s">
        <v>273</v>
      </c>
      <c r="C176" s="7" t="s">
        <v>211</v>
      </c>
      <c r="D176" s="7" t="s">
        <v>214</v>
      </c>
      <c r="E176" s="7" t="s">
        <v>55</v>
      </c>
      <c r="F176" s="7"/>
      <c r="G176" s="8">
        <f>G177+G179+G181</f>
        <v>15037</v>
      </c>
      <c r="H176" s="8">
        <f>H177+H179+H181</f>
        <v>2619.1000000000004</v>
      </c>
    </row>
    <row r="177" spans="1:8" ht="117.75" customHeight="1" outlineLevel="1">
      <c r="A177" s="15" t="s">
        <v>445</v>
      </c>
      <c r="B177" s="14" t="s">
        <v>273</v>
      </c>
      <c r="C177" s="7" t="s">
        <v>211</v>
      </c>
      <c r="D177" s="7" t="s">
        <v>214</v>
      </c>
      <c r="E177" s="7" t="s">
        <v>56</v>
      </c>
      <c r="F177" s="7"/>
      <c r="G177" s="8">
        <f>G178</f>
        <v>1500</v>
      </c>
      <c r="H177" s="8">
        <f>H178</f>
        <v>1201</v>
      </c>
    </row>
    <row r="178" spans="1:8" ht="58.5" customHeight="1" outlineLevel="1">
      <c r="A178" s="15" t="s">
        <v>497</v>
      </c>
      <c r="B178" s="14" t="s">
        <v>273</v>
      </c>
      <c r="C178" s="7" t="s">
        <v>211</v>
      </c>
      <c r="D178" s="7" t="s">
        <v>214</v>
      </c>
      <c r="E178" s="7" t="s">
        <v>56</v>
      </c>
      <c r="F178" s="7" t="s">
        <v>496</v>
      </c>
      <c r="G178" s="8">
        <v>1500</v>
      </c>
      <c r="H178" s="8">
        <f>1201</f>
        <v>1201</v>
      </c>
    </row>
    <row r="179" spans="1:8" ht="78.75" customHeight="1" outlineLevel="1">
      <c r="A179" s="36" t="s">
        <v>337</v>
      </c>
      <c r="B179" s="14" t="s">
        <v>273</v>
      </c>
      <c r="C179" s="7" t="s">
        <v>211</v>
      </c>
      <c r="D179" s="7" t="s">
        <v>214</v>
      </c>
      <c r="E179" s="7" t="s">
        <v>57</v>
      </c>
      <c r="F179" s="7"/>
      <c r="G179" s="8">
        <f>G180</f>
        <v>500</v>
      </c>
      <c r="H179" s="8">
        <f>H180</f>
        <v>0</v>
      </c>
    </row>
    <row r="180" spans="1:8" ht="60" customHeight="1" outlineLevel="1">
      <c r="A180" s="15" t="s">
        <v>497</v>
      </c>
      <c r="B180" s="14" t="s">
        <v>273</v>
      </c>
      <c r="C180" s="7" t="s">
        <v>211</v>
      </c>
      <c r="D180" s="7" t="s">
        <v>214</v>
      </c>
      <c r="E180" s="7" t="s">
        <v>57</v>
      </c>
      <c r="F180" s="7" t="s">
        <v>496</v>
      </c>
      <c r="G180" s="8">
        <v>500</v>
      </c>
      <c r="H180" s="8">
        <v>0</v>
      </c>
    </row>
    <row r="181" spans="1:8" ht="32.25" customHeight="1" outlineLevel="1">
      <c r="A181" s="15" t="s">
        <v>215</v>
      </c>
      <c r="B181" s="14" t="s">
        <v>273</v>
      </c>
      <c r="C181" s="7" t="s">
        <v>211</v>
      </c>
      <c r="D181" s="7" t="s">
        <v>214</v>
      </c>
      <c r="E181" s="7" t="s">
        <v>58</v>
      </c>
      <c r="F181" s="7"/>
      <c r="G181" s="8">
        <f>G182+G184+G187+G189+G191</f>
        <v>13037</v>
      </c>
      <c r="H181" s="8">
        <f>H182+H184+H187+H189+H191</f>
        <v>1418.1000000000001</v>
      </c>
    </row>
    <row r="182" spans="1:8" ht="73.5" customHeight="1" outlineLevel="1">
      <c r="A182" s="15" t="s">
        <v>336</v>
      </c>
      <c r="B182" s="14" t="s">
        <v>273</v>
      </c>
      <c r="C182" s="7" t="s">
        <v>211</v>
      </c>
      <c r="D182" s="7" t="s">
        <v>214</v>
      </c>
      <c r="E182" s="7" t="s">
        <v>159</v>
      </c>
      <c r="F182" s="7"/>
      <c r="G182" s="8">
        <f>G183</f>
        <v>2800</v>
      </c>
      <c r="H182" s="8">
        <f>H183</f>
        <v>1332.2</v>
      </c>
    </row>
    <row r="183" spans="1:8" ht="58.5" customHeight="1" outlineLevel="1">
      <c r="A183" s="15" t="s">
        <v>497</v>
      </c>
      <c r="B183" s="14" t="s">
        <v>273</v>
      </c>
      <c r="C183" s="7" t="s">
        <v>211</v>
      </c>
      <c r="D183" s="7" t="s">
        <v>214</v>
      </c>
      <c r="E183" s="7" t="s">
        <v>159</v>
      </c>
      <c r="F183" s="7" t="s">
        <v>496</v>
      </c>
      <c r="G183" s="8">
        <v>2800</v>
      </c>
      <c r="H183" s="8">
        <f>1332.2</f>
        <v>1332.2</v>
      </c>
    </row>
    <row r="184" spans="1:8" ht="29.25" customHeight="1" outlineLevel="1">
      <c r="A184" s="15" t="s">
        <v>429</v>
      </c>
      <c r="B184" s="14" t="s">
        <v>273</v>
      </c>
      <c r="C184" s="7" t="s">
        <v>211</v>
      </c>
      <c r="D184" s="7" t="s">
        <v>214</v>
      </c>
      <c r="E184" s="7" t="s">
        <v>97</v>
      </c>
      <c r="F184" s="7"/>
      <c r="G184" s="8">
        <f>G185+G186</f>
        <v>150</v>
      </c>
      <c r="H184" s="8">
        <f>H185+H186</f>
        <v>46.9</v>
      </c>
    </row>
    <row r="185" spans="1:8" ht="30.75" customHeight="1" outlineLevel="1">
      <c r="A185" s="20" t="s">
        <v>509</v>
      </c>
      <c r="B185" s="14" t="s">
        <v>273</v>
      </c>
      <c r="C185" s="7" t="s">
        <v>211</v>
      </c>
      <c r="D185" s="7" t="s">
        <v>214</v>
      </c>
      <c r="E185" s="7" t="s">
        <v>97</v>
      </c>
      <c r="F185" s="7" t="s">
        <v>508</v>
      </c>
      <c r="G185" s="8">
        <v>149</v>
      </c>
      <c r="H185" s="8">
        <f>46.5</f>
        <v>46.5</v>
      </c>
    </row>
    <row r="186" spans="1:8" ht="27" customHeight="1" outlineLevel="1">
      <c r="A186" s="15" t="s">
        <v>506</v>
      </c>
      <c r="B186" s="14" t="s">
        <v>273</v>
      </c>
      <c r="C186" s="7" t="s">
        <v>211</v>
      </c>
      <c r="D186" s="7" t="s">
        <v>214</v>
      </c>
      <c r="E186" s="7" t="s">
        <v>97</v>
      </c>
      <c r="F186" s="7" t="s">
        <v>505</v>
      </c>
      <c r="G186" s="8">
        <v>1</v>
      </c>
      <c r="H186" s="8">
        <f>0.4</f>
        <v>0.4</v>
      </c>
    </row>
    <row r="187" spans="1:8" ht="15.75" customHeight="1" outlineLevel="1">
      <c r="A187" s="15" t="s">
        <v>283</v>
      </c>
      <c r="B187" s="14" t="s">
        <v>273</v>
      </c>
      <c r="C187" s="7" t="s">
        <v>211</v>
      </c>
      <c r="D187" s="7" t="s">
        <v>214</v>
      </c>
      <c r="E187" s="7" t="s">
        <v>284</v>
      </c>
      <c r="F187" s="7"/>
      <c r="G187" s="8">
        <f>G188</f>
        <v>360</v>
      </c>
      <c r="H187" s="8">
        <f>H188</f>
        <v>39</v>
      </c>
    </row>
    <row r="188" spans="1:8" ht="29.25" customHeight="1" outlineLevel="1">
      <c r="A188" s="15" t="s">
        <v>467</v>
      </c>
      <c r="B188" s="14" t="s">
        <v>273</v>
      </c>
      <c r="C188" s="7" t="s">
        <v>211</v>
      </c>
      <c r="D188" s="7" t="s">
        <v>214</v>
      </c>
      <c r="E188" s="7" t="s">
        <v>284</v>
      </c>
      <c r="F188" s="7" t="s">
        <v>466</v>
      </c>
      <c r="G188" s="8">
        <f>1160-800</f>
        <v>360</v>
      </c>
      <c r="H188" s="8">
        <f>39</f>
        <v>39</v>
      </c>
    </row>
    <row r="189" spans="1:8" ht="34.5" customHeight="1" hidden="1" outlineLevel="2">
      <c r="A189" s="15" t="s">
        <v>303</v>
      </c>
      <c r="B189" s="14" t="s">
        <v>273</v>
      </c>
      <c r="C189" s="7" t="s">
        <v>211</v>
      </c>
      <c r="D189" s="7" t="s">
        <v>214</v>
      </c>
      <c r="E189" s="7" t="s">
        <v>304</v>
      </c>
      <c r="F189" s="7"/>
      <c r="G189" s="8">
        <f>G190</f>
        <v>0</v>
      </c>
      <c r="H189" s="8">
        <f>H190</f>
        <v>0</v>
      </c>
    </row>
    <row r="190" spans="1:8" ht="34.5" customHeight="1" hidden="1" outlineLevel="2">
      <c r="A190" s="15" t="s">
        <v>14</v>
      </c>
      <c r="B190" s="14" t="s">
        <v>273</v>
      </c>
      <c r="C190" s="7" t="s">
        <v>211</v>
      </c>
      <c r="D190" s="7" t="s">
        <v>214</v>
      </c>
      <c r="E190" s="7" t="s">
        <v>304</v>
      </c>
      <c r="F190" s="7" t="s">
        <v>13</v>
      </c>
      <c r="G190" s="8">
        <v>0</v>
      </c>
      <c r="H190" s="8">
        <v>0</v>
      </c>
    </row>
    <row r="191" spans="1:8" ht="28.5" customHeight="1" outlineLevel="1" collapsed="1">
      <c r="A191" s="15" t="s">
        <v>335</v>
      </c>
      <c r="B191" s="14" t="s">
        <v>273</v>
      </c>
      <c r="C191" s="7" t="s">
        <v>211</v>
      </c>
      <c r="D191" s="7" t="s">
        <v>214</v>
      </c>
      <c r="E191" s="7" t="s">
        <v>412</v>
      </c>
      <c r="F191" s="7"/>
      <c r="G191" s="8">
        <f>G192+G193</f>
        <v>9727</v>
      </c>
      <c r="H191" s="8">
        <f>H192+H193</f>
        <v>0</v>
      </c>
    </row>
    <row r="192" spans="1:8" ht="48" customHeight="1" outlineLevel="1">
      <c r="A192" s="15" t="s">
        <v>513</v>
      </c>
      <c r="B192" s="14" t="s">
        <v>273</v>
      </c>
      <c r="C192" s="7" t="s">
        <v>211</v>
      </c>
      <c r="D192" s="7" t="s">
        <v>214</v>
      </c>
      <c r="E192" s="7" t="s">
        <v>412</v>
      </c>
      <c r="F192" s="7" t="s">
        <v>478</v>
      </c>
      <c r="G192" s="8">
        <v>2727</v>
      </c>
      <c r="H192" s="8">
        <v>0</v>
      </c>
    </row>
    <row r="193" spans="1:8" ht="60" customHeight="1" outlineLevel="1">
      <c r="A193" s="15" t="s">
        <v>507</v>
      </c>
      <c r="B193" s="14" t="s">
        <v>273</v>
      </c>
      <c r="C193" s="7" t="s">
        <v>211</v>
      </c>
      <c r="D193" s="7" t="s">
        <v>214</v>
      </c>
      <c r="E193" s="7" t="s">
        <v>412</v>
      </c>
      <c r="F193" s="7" t="s">
        <v>477</v>
      </c>
      <c r="G193" s="8">
        <v>7000</v>
      </c>
      <c r="H193" s="8">
        <v>0</v>
      </c>
    </row>
    <row r="194" spans="1:8" ht="77.25" customHeight="1" hidden="1" outlineLevel="2">
      <c r="A194" s="15" t="s">
        <v>379</v>
      </c>
      <c r="B194" s="14" t="s">
        <v>273</v>
      </c>
      <c r="C194" s="7" t="s">
        <v>211</v>
      </c>
      <c r="D194" s="7" t="s">
        <v>214</v>
      </c>
      <c r="E194" s="7" t="s">
        <v>380</v>
      </c>
      <c r="F194" s="7"/>
      <c r="G194" s="8">
        <f>G195</f>
        <v>0</v>
      </c>
      <c r="H194" s="8">
        <f>H195</f>
        <v>0</v>
      </c>
    </row>
    <row r="195" spans="1:8" ht="34.5" customHeight="1" hidden="1" outlineLevel="2">
      <c r="A195" s="15" t="s">
        <v>14</v>
      </c>
      <c r="B195" s="14" t="s">
        <v>273</v>
      </c>
      <c r="C195" s="7" t="s">
        <v>211</v>
      </c>
      <c r="D195" s="7" t="s">
        <v>214</v>
      </c>
      <c r="E195" s="7" t="s">
        <v>380</v>
      </c>
      <c r="F195" s="7" t="s">
        <v>13</v>
      </c>
      <c r="G195" s="8">
        <v>0</v>
      </c>
      <c r="H195" s="8">
        <v>0</v>
      </c>
    </row>
    <row r="196" spans="1:8" ht="32.25" customHeight="1" outlineLevel="1" collapsed="1">
      <c r="A196" s="15" t="s">
        <v>216</v>
      </c>
      <c r="B196" s="14" t="s">
        <v>273</v>
      </c>
      <c r="C196" s="7" t="s">
        <v>211</v>
      </c>
      <c r="D196" s="7" t="s">
        <v>214</v>
      </c>
      <c r="E196" s="7" t="s">
        <v>33</v>
      </c>
      <c r="F196" s="7"/>
      <c r="G196" s="8">
        <f>G197+G199+G201+G203</f>
        <v>27205</v>
      </c>
      <c r="H196" s="8">
        <f>H197+H199+H201+H203</f>
        <v>0</v>
      </c>
    </row>
    <row r="197" spans="1:8" ht="102" customHeight="1" outlineLevel="1">
      <c r="A197" s="15" t="s">
        <v>217</v>
      </c>
      <c r="B197" s="14" t="s">
        <v>273</v>
      </c>
      <c r="C197" s="7" t="s">
        <v>211</v>
      </c>
      <c r="D197" s="7" t="s">
        <v>214</v>
      </c>
      <c r="E197" s="7" t="s">
        <v>116</v>
      </c>
      <c r="F197" s="7"/>
      <c r="G197" s="8">
        <f>G198</f>
        <v>14748</v>
      </c>
      <c r="H197" s="8">
        <f>H198</f>
        <v>0</v>
      </c>
    </row>
    <row r="198" spans="1:8" ht="79.5" customHeight="1" outlineLevel="1">
      <c r="A198" s="15" t="s">
        <v>507</v>
      </c>
      <c r="B198" s="14" t="s">
        <v>273</v>
      </c>
      <c r="C198" s="7" t="s">
        <v>211</v>
      </c>
      <c r="D198" s="7" t="s">
        <v>214</v>
      </c>
      <c r="E198" s="7" t="s">
        <v>116</v>
      </c>
      <c r="F198" s="7" t="s">
        <v>477</v>
      </c>
      <c r="G198" s="8">
        <v>14748</v>
      </c>
      <c r="H198" s="8">
        <v>0</v>
      </c>
    </row>
    <row r="199" spans="1:8" ht="74.25" customHeight="1" outlineLevel="1">
      <c r="A199" s="15" t="s">
        <v>413</v>
      </c>
      <c r="B199" s="14" t="s">
        <v>273</v>
      </c>
      <c r="C199" s="7" t="s">
        <v>211</v>
      </c>
      <c r="D199" s="7" t="s">
        <v>214</v>
      </c>
      <c r="E199" s="7" t="s">
        <v>117</v>
      </c>
      <c r="F199" s="7"/>
      <c r="G199" s="8">
        <f>G200</f>
        <v>10000</v>
      </c>
      <c r="H199" s="8">
        <f>H200</f>
        <v>0</v>
      </c>
    </row>
    <row r="200" spans="1:8" ht="74.25" customHeight="1" outlineLevel="1">
      <c r="A200" s="15" t="s">
        <v>507</v>
      </c>
      <c r="B200" s="14" t="s">
        <v>273</v>
      </c>
      <c r="C200" s="7" t="s">
        <v>211</v>
      </c>
      <c r="D200" s="7" t="s">
        <v>214</v>
      </c>
      <c r="E200" s="7" t="s">
        <v>117</v>
      </c>
      <c r="F200" s="7" t="s">
        <v>477</v>
      </c>
      <c r="G200" s="8">
        <v>10000</v>
      </c>
      <c r="H200" s="8">
        <v>0</v>
      </c>
    </row>
    <row r="201" spans="1:8" ht="61.5" customHeight="1" outlineLevel="1">
      <c r="A201" s="15" t="s">
        <v>218</v>
      </c>
      <c r="B201" s="14" t="s">
        <v>273</v>
      </c>
      <c r="C201" s="7" t="s">
        <v>211</v>
      </c>
      <c r="D201" s="7" t="s">
        <v>214</v>
      </c>
      <c r="E201" s="7" t="s">
        <v>118</v>
      </c>
      <c r="F201" s="7"/>
      <c r="G201" s="8">
        <f>G202</f>
        <v>957</v>
      </c>
      <c r="H201" s="8">
        <f>H202</f>
        <v>0</v>
      </c>
    </row>
    <row r="202" spans="1:8" ht="30" customHeight="1" outlineLevel="1">
      <c r="A202" s="15" t="s">
        <v>467</v>
      </c>
      <c r="B202" s="14" t="s">
        <v>273</v>
      </c>
      <c r="C202" s="7" t="s">
        <v>211</v>
      </c>
      <c r="D202" s="7" t="s">
        <v>214</v>
      </c>
      <c r="E202" s="7" t="s">
        <v>118</v>
      </c>
      <c r="F202" s="7" t="s">
        <v>466</v>
      </c>
      <c r="G202" s="8">
        <v>957</v>
      </c>
      <c r="H202" s="8">
        <v>0</v>
      </c>
    </row>
    <row r="203" spans="1:8" ht="44.25" customHeight="1" outlineLevel="1">
      <c r="A203" s="15" t="s">
        <v>400</v>
      </c>
      <c r="B203" s="14" t="s">
        <v>273</v>
      </c>
      <c r="C203" s="7" t="s">
        <v>211</v>
      </c>
      <c r="D203" s="7" t="s">
        <v>214</v>
      </c>
      <c r="E203" s="7" t="s">
        <v>350</v>
      </c>
      <c r="F203" s="7"/>
      <c r="G203" s="8">
        <f>G204</f>
        <v>1500</v>
      </c>
      <c r="H203" s="8">
        <f>H204</f>
        <v>0</v>
      </c>
    </row>
    <row r="204" spans="1:8" ht="44.25" customHeight="1" outlineLevel="1">
      <c r="A204" s="15" t="s">
        <v>504</v>
      </c>
      <c r="B204" s="14" t="s">
        <v>273</v>
      </c>
      <c r="C204" s="7" t="s">
        <v>211</v>
      </c>
      <c r="D204" s="7" t="s">
        <v>214</v>
      </c>
      <c r="E204" s="7" t="s">
        <v>350</v>
      </c>
      <c r="F204" s="7" t="s">
        <v>503</v>
      </c>
      <c r="G204" s="8">
        <v>1500</v>
      </c>
      <c r="H204" s="8">
        <v>0</v>
      </c>
    </row>
    <row r="205" spans="1:8" ht="18" customHeight="1" outlineLevel="1">
      <c r="A205" s="18" t="s">
        <v>10</v>
      </c>
      <c r="B205" s="14" t="s">
        <v>273</v>
      </c>
      <c r="C205" s="7" t="s">
        <v>211</v>
      </c>
      <c r="D205" s="7" t="s">
        <v>195</v>
      </c>
      <c r="E205" s="7"/>
      <c r="F205" s="7"/>
      <c r="G205" s="8">
        <f>G206+G210+G208</f>
        <v>104548.1</v>
      </c>
      <c r="H205" s="8">
        <f>H206+H210+H208</f>
        <v>37744.299999999996</v>
      </c>
    </row>
    <row r="206" spans="1:8" ht="17.25" customHeight="1" outlineLevel="1">
      <c r="A206" s="15" t="s">
        <v>172</v>
      </c>
      <c r="B206" s="14" t="s">
        <v>273</v>
      </c>
      <c r="C206" s="7" t="s">
        <v>211</v>
      </c>
      <c r="D206" s="7" t="s">
        <v>195</v>
      </c>
      <c r="E206" s="7" t="s">
        <v>109</v>
      </c>
      <c r="F206" s="7"/>
      <c r="G206" s="8">
        <f>G207</f>
        <v>2500</v>
      </c>
      <c r="H206" s="8">
        <f>H207</f>
        <v>1003.7</v>
      </c>
    </row>
    <row r="207" spans="1:8" ht="30.75" customHeight="1" outlineLevel="1">
      <c r="A207" s="15" t="s">
        <v>467</v>
      </c>
      <c r="B207" s="14" t="s">
        <v>273</v>
      </c>
      <c r="C207" s="7" t="s">
        <v>211</v>
      </c>
      <c r="D207" s="7" t="s">
        <v>195</v>
      </c>
      <c r="E207" s="7" t="s">
        <v>109</v>
      </c>
      <c r="F207" s="7" t="s">
        <v>466</v>
      </c>
      <c r="G207" s="8">
        <v>2500</v>
      </c>
      <c r="H207" s="8">
        <f>1003.7</f>
        <v>1003.7</v>
      </c>
    </row>
    <row r="208" spans="1:8" ht="64.5" customHeight="1" hidden="1" outlineLevel="2">
      <c r="A208" s="15" t="s">
        <v>381</v>
      </c>
      <c r="B208" s="14" t="s">
        <v>273</v>
      </c>
      <c r="C208" s="7" t="s">
        <v>211</v>
      </c>
      <c r="D208" s="7" t="s">
        <v>195</v>
      </c>
      <c r="E208" s="7" t="s">
        <v>363</v>
      </c>
      <c r="F208" s="7"/>
      <c r="G208" s="8">
        <f>G209</f>
        <v>0</v>
      </c>
      <c r="H208" s="8">
        <f>H209</f>
        <v>0</v>
      </c>
    </row>
    <row r="209" spans="1:8" ht="30.75" customHeight="1" hidden="1" outlineLevel="2">
      <c r="A209" s="15" t="s">
        <v>35</v>
      </c>
      <c r="B209" s="14" t="s">
        <v>273</v>
      </c>
      <c r="C209" s="7" t="s">
        <v>211</v>
      </c>
      <c r="D209" s="7" t="s">
        <v>195</v>
      </c>
      <c r="E209" s="7" t="s">
        <v>363</v>
      </c>
      <c r="F209" s="7" t="s">
        <v>13</v>
      </c>
      <c r="G209" s="8">
        <v>0</v>
      </c>
      <c r="H209" s="8">
        <v>0</v>
      </c>
    </row>
    <row r="210" spans="1:8" ht="18" customHeight="1" outlineLevel="1" collapsed="1">
      <c r="A210" s="15" t="s">
        <v>173</v>
      </c>
      <c r="B210" s="14" t="s">
        <v>273</v>
      </c>
      <c r="C210" s="7" t="s">
        <v>211</v>
      </c>
      <c r="D210" s="7" t="s">
        <v>195</v>
      </c>
      <c r="E210" s="7" t="s">
        <v>60</v>
      </c>
      <c r="F210" s="7"/>
      <c r="G210" s="8">
        <f>G211+G213+G220+G222</f>
        <v>102048.1</v>
      </c>
      <c r="H210" s="8">
        <f>H211+H213+H220+H222</f>
        <v>36740.6</v>
      </c>
    </row>
    <row r="211" spans="1:8" ht="16.5" customHeight="1" outlineLevel="1">
      <c r="A211" s="15" t="s">
        <v>174</v>
      </c>
      <c r="B211" s="14" t="s">
        <v>273</v>
      </c>
      <c r="C211" s="7" t="s">
        <v>211</v>
      </c>
      <c r="D211" s="7" t="s">
        <v>195</v>
      </c>
      <c r="E211" s="7" t="s">
        <v>61</v>
      </c>
      <c r="F211" s="7"/>
      <c r="G211" s="8">
        <f>G212</f>
        <v>19000</v>
      </c>
      <c r="H211" s="8">
        <f>H212</f>
        <v>9128</v>
      </c>
    </row>
    <row r="212" spans="1:8" ht="33.75" customHeight="1" outlineLevel="1">
      <c r="A212" s="15" t="s">
        <v>467</v>
      </c>
      <c r="B212" s="14" t="s">
        <v>273</v>
      </c>
      <c r="C212" s="7" t="s">
        <v>211</v>
      </c>
      <c r="D212" s="7" t="s">
        <v>195</v>
      </c>
      <c r="E212" s="7" t="s">
        <v>61</v>
      </c>
      <c r="F212" s="7" t="s">
        <v>466</v>
      </c>
      <c r="G212" s="8">
        <v>19000</v>
      </c>
      <c r="H212" s="8">
        <f>9128</f>
        <v>9128</v>
      </c>
    </row>
    <row r="213" spans="1:8" ht="15" customHeight="1" outlineLevel="1">
      <c r="A213" s="15" t="s">
        <v>111</v>
      </c>
      <c r="B213" s="14" t="s">
        <v>273</v>
      </c>
      <c r="C213" s="7" t="s">
        <v>211</v>
      </c>
      <c r="D213" s="7" t="s">
        <v>195</v>
      </c>
      <c r="E213" s="7" t="s">
        <v>66</v>
      </c>
      <c r="F213" s="7"/>
      <c r="G213" s="8">
        <f>G214+G216+G218</f>
        <v>14031.7</v>
      </c>
      <c r="H213" s="8">
        <f>H214+H216+H218</f>
        <v>4402.7</v>
      </c>
    </row>
    <row r="214" spans="1:8" ht="43.5" customHeight="1" outlineLevel="1">
      <c r="A214" s="15" t="s">
        <v>461</v>
      </c>
      <c r="B214" s="14" t="s">
        <v>273</v>
      </c>
      <c r="C214" s="7" t="s">
        <v>211</v>
      </c>
      <c r="D214" s="7" t="s">
        <v>195</v>
      </c>
      <c r="E214" s="7" t="s">
        <v>165</v>
      </c>
      <c r="F214" s="7"/>
      <c r="G214" s="8">
        <f>G215</f>
        <v>8660</v>
      </c>
      <c r="H214" s="8">
        <f>H215</f>
        <v>4117</v>
      </c>
    </row>
    <row r="215" spans="1:8" ht="60" customHeight="1" outlineLevel="1">
      <c r="A215" s="15" t="s">
        <v>497</v>
      </c>
      <c r="B215" s="14" t="s">
        <v>273</v>
      </c>
      <c r="C215" s="7" t="s">
        <v>211</v>
      </c>
      <c r="D215" s="7" t="s">
        <v>195</v>
      </c>
      <c r="E215" s="7" t="s">
        <v>165</v>
      </c>
      <c r="F215" s="7" t="s">
        <v>496</v>
      </c>
      <c r="G215" s="8">
        <f>8360+300</f>
        <v>8660</v>
      </c>
      <c r="H215" s="8">
        <f>4117</f>
        <v>4117</v>
      </c>
    </row>
    <row r="216" spans="1:8" ht="45.75" customHeight="1" hidden="1" outlineLevel="1">
      <c r="A216" s="15" t="s">
        <v>462</v>
      </c>
      <c r="B216" s="14" t="s">
        <v>273</v>
      </c>
      <c r="C216" s="7" t="s">
        <v>211</v>
      </c>
      <c r="D216" s="7" t="s">
        <v>195</v>
      </c>
      <c r="E216" s="7" t="s">
        <v>219</v>
      </c>
      <c r="F216" s="7"/>
      <c r="G216" s="8">
        <f>G217</f>
        <v>0</v>
      </c>
      <c r="H216" s="8">
        <f>H217</f>
        <v>0</v>
      </c>
    </row>
    <row r="217" spans="1:8" ht="44.25" customHeight="1" hidden="1" outlineLevel="1">
      <c r="A217" s="15" t="s">
        <v>497</v>
      </c>
      <c r="B217" s="14" t="s">
        <v>273</v>
      </c>
      <c r="C217" s="7" t="s">
        <v>211</v>
      </c>
      <c r="D217" s="7" t="s">
        <v>195</v>
      </c>
      <c r="E217" s="7" t="s">
        <v>219</v>
      </c>
      <c r="F217" s="7" t="s">
        <v>496</v>
      </c>
      <c r="G217" s="8">
        <f>300-300</f>
        <v>0</v>
      </c>
      <c r="H217" s="8">
        <f>300-300</f>
        <v>0</v>
      </c>
    </row>
    <row r="218" spans="1:8" ht="15" customHeight="1" outlineLevel="1">
      <c r="A218" s="15" t="s">
        <v>262</v>
      </c>
      <c r="B218" s="14" t="s">
        <v>273</v>
      </c>
      <c r="C218" s="7" t="s">
        <v>211</v>
      </c>
      <c r="D218" s="7" t="s">
        <v>195</v>
      </c>
      <c r="E218" s="7" t="s">
        <v>263</v>
      </c>
      <c r="F218" s="7"/>
      <c r="G218" s="8">
        <f>G219</f>
        <v>5371.7</v>
      </c>
      <c r="H218" s="8">
        <f>H219</f>
        <v>285.7</v>
      </c>
    </row>
    <row r="219" spans="1:8" ht="28.5" customHeight="1" outlineLevel="1">
      <c r="A219" s="15" t="s">
        <v>467</v>
      </c>
      <c r="B219" s="14" t="s">
        <v>273</v>
      </c>
      <c r="C219" s="7" t="s">
        <v>211</v>
      </c>
      <c r="D219" s="7" t="s">
        <v>195</v>
      </c>
      <c r="E219" s="7" t="s">
        <v>263</v>
      </c>
      <c r="F219" s="7" t="s">
        <v>466</v>
      </c>
      <c r="G219" s="8">
        <f>6321.7-950</f>
        <v>5371.7</v>
      </c>
      <c r="H219" s="8">
        <f>285.7</f>
        <v>285.7</v>
      </c>
    </row>
    <row r="220" spans="1:8" ht="15" customHeight="1" outlineLevel="1">
      <c r="A220" s="15" t="s">
        <v>67</v>
      </c>
      <c r="B220" s="14" t="s">
        <v>273</v>
      </c>
      <c r="C220" s="7" t="s">
        <v>211</v>
      </c>
      <c r="D220" s="7" t="s">
        <v>195</v>
      </c>
      <c r="E220" s="7" t="s">
        <v>68</v>
      </c>
      <c r="F220" s="7"/>
      <c r="G220" s="8">
        <f>G221</f>
        <v>1200</v>
      </c>
      <c r="H220" s="8">
        <f>H221</f>
        <v>202.9</v>
      </c>
    </row>
    <row r="221" spans="1:8" ht="31.5" customHeight="1" outlineLevel="1">
      <c r="A221" s="15" t="s">
        <v>467</v>
      </c>
      <c r="B221" s="14" t="s">
        <v>273</v>
      </c>
      <c r="C221" s="7" t="s">
        <v>211</v>
      </c>
      <c r="D221" s="7" t="s">
        <v>195</v>
      </c>
      <c r="E221" s="7" t="s">
        <v>68</v>
      </c>
      <c r="F221" s="7" t="s">
        <v>466</v>
      </c>
      <c r="G221" s="8">
        <f>1200</f>
        <v>1200</v>
      </c>
      <c r="H221" s="8">
        <f>202.9</f>
        <v>202.9</v>
      </c>
    </row>
    <row r="222" spans="1:8" ht="30.75" customHeight="1" outlineLevel="1">
      <c r="A222" s="15" t="s">
        <v>69</v>
      </c>
      <c r="B222" s="14" t="s">
        <v>273</v>
      </c>
      <c r="C222" s="7" t="s">
        <v>211</v>
      </c>
      <c r="D222" s="7" t="s">
        <v>195</v>
      </c>
      <c r="E222" s="7" t="s">
        <v>70</v>
      </c>
      <c r="F222" s="7"/>
      <c r="G222" s="8">
        <f>G223+G225+G227+G229+G231+G233+G235</f>
        <v>67816.40000000001</v>
      </c>
      <c r="H222" s="8">
        <f>H223+H225+H227+H229+H231+H233+H235</f>
        <v>23007</v>
      </c>
    </row>
    <row r="223" spans="1:8" ht="27.75" customHeight="1" outlineLevel="1">
      <c r="A223" s="11" t="s">
        <v>426</v>
      </c>
      <c r="B223" s="14" t="s">
        <v>273</v>
      </c>
      <c r="C223" s="7" t="s">
        <v>211</v>
      </c>
      <c r="D223" s="7" t="s">
        <v>195</v>
      </c>
      <c r="E223" s="7" t="s">
        <v>171</v>
      </c>
      <c r="F223" s="7"/>
      <c r="G223" s="8">
        <f>G224</f>
        <v>150</v>
      </c>
      <c r="H223" s="8">
        <f>H224</f>
        <v>40.8</v>
      </c>
    </row>
    <row r="224" spans="1:8" ht="29.25" customHeight="1" outlineLevel="1">
      <c r="A224" s="15" t="s">
        <v>467</v>
      </c>
      <c r="B224" s="14" t="s">
        <v>273</v>
      </c>
      <c r="C224" s="7" t="s">
        <v>211</v>
      </c>
      <c r="D224" s="7" t="s">
        <v>195</v>
      </c>
      <c r="E224" s="7" t="s">
        <v>171</v>
      </c>
      <c r="F224" s="7" t="s">
        <v>466</v>
      </c>
      <c r="G224" s="8">
        <v>150</v>
      </c>
      <c r="H224" s="8">
        <f>40.8</f>
        <v>40.8</v>
      </c>
    </row>
    <row r="225" spans="1:8" ht="15" customHeight="1" outlineLevel="1">
      <c r="A225" s="15" t="s">
        <v>279</v>
      </c>
      <c r="B225" s="14" t="s">
        <v>273</v>
      </c>
      <c r="C225" s="7" t="s">
        <v>211</v>
      </c>
      <c r="D225" s="7" t="s">
        <v>195</v>
      </c>
      <c r="E225" s="7" t="s">
        <v>220</v>
      </c>
      <c r="F225" s="7"/>
      <c r="G225" s="8">
        <f>G226</f>
        <v>600</v>
      </c>
      <c r="H225" s="8">
        <f>H226</f>
        <v>90.1</v>
      </c>
    </row>
    <row r="226" spans="1:8" ht="30.75" customHeight="1" outlineLevel="1">
      <c r="A226" s="15" t="s">
        <v>467</v>
      </c>
      <c r="B226" s="14" t="s">
        <v>273</v>
      </c>
      <c r="C226" s="7" t="s">
        <v>211</v>
      </c>
      <c r="D226" s="7" t="s">
        <v>195</v>
      </c>
      <c r="E226" s="7" t="s">
        <v>220</v>
      </c>
      <c r="F226" s="7" t="s">
        <v>466</v>
      </c>
      <c r="G226" s="8">
        <v>600</v>
      </c>
      <c r="H226" s="8">
        <f>90.1</f>
        <v>90.1</v>
      </c>
    </row>
    <row r="227" spans="1:8" ht="15" customHeight="1" outlineLevel="1">
      <c r="A227" s="11" t="s">
        <v>280</v>
      </c>
      <c r="B227" s="14" t="s">
        <v>273</v>
      </c>
      <c r="C227" s="7" t="s">
        <v>211</v>
      </c>
      <c r="D227" s="7" t="s">
        <v>195</v>
      </c>
      <c r="E227" s="7" t="s">
        <v>163</v>
      </c>
      <c r="F227" s="7"/>
      <c r="G227" s="8">
        <f>G228</f>
        <v>23960</v>
      </c>
      <c r="H227" s="8">
        <f>H228</f>
        <v>1005.1</v>
      </c>
    </row>
    <row r="228" spans="1:8" ht="31.5" customHeight="1" outlineLevel="1">
      <c r="A228" s="15" t="s">
        <v>467</v>
      </c>
      <c r="B228" s="14" t="s">
        <v>273</v>
      </c>
      <c r="C228" s="7" t="s">
        <v>211</v>
      </c>
      <c r="D228" s="7" t="s">
        <v>195</v>
      </c>
      <c r="E228" s="7" t="s">
        <v>163</v>
      </c>
      <c r="F228" s="7" t="s">
        <v>466</v>
      </c>
      <c r="G228" s="8">
        <f>20060+4250-350</f>
        <v>23960</v>
      </c>
      <c r="H228" s="8">
        <f>1005.1</f>
        <v>1005.1</v>
      </c>
    </row>
    <row r="229" spans="1:8" ht="31.5" customHeight="1" outlineLevel="1">
      <c r="A229" s="15" t="s">
        <v>463</v>
      </c>
      <c r="B229" s="14" t="s">
        <v>273</v>
      </c>
      <c r="C229" s="7" t="s">
        <v>211</v>
      </c>
      <c r="D229" s="7" t="s">
        <v>195</v>
      </c>
      <c r="E229" s="7" t="s">
        <v>166</v>
      </c>
      <c r="F229" s="7"/>
      <c r="G229" s="8">
        <f>G230</f>
        <v>18150</v>
      </c>
      <c r="H229" s="8">
        <f>H230</f>
        <v>9038.2</v>
      </c>
    </row>
    <row r="230" spans="1:8" ht="59.25" customHeight="1" outlineLevel="1">
      <c r="A230" s="15" t="s">
        <v>497</v>
      </c>
      <c r="B230" s="14" t="s">
        <v>273</v>
      </c>
      <c r="C230" s="7" t="s">
        <v>211</v>
      </c>
      <c r="D230" s="7" t="s">
        <v>195</v>
      </c>
      <c r="E230" s="7" t="s">
        <v>166</v>
      </c>
      <c r="F230" s="7" t="s">
        <v>496</v>
      </c>
      <c r="G230" s="8">
        <v>18150</v>
      </c>
      <c r="H230" s="8">
        <f>9038.2</f>
        <v>9038.2</v>
      </c>
    </row>
    <row r="231" spans="1:8" ht="46.5" customHeight="1" outlineLevel="1">
      <c r="A231" s="15" t="s">
        <v>464</v>
      </c>
      <c r="B231" s="14" t="s">
        <v>273</v>
      </c>
      <c r="C231" s="7" t="s">
        <v>211</v>
      </c>
      <c r="D231" s="7" t="s">
        <v>195</v>
      </c>
      <c r="E231" s="7" t="s">
        <v>167</v>
      </c>
      <c r="F231" s="7"/>
      <c r="G231" s="8">
        <f>G232</f>
        <v>24654.3</v>
      </c>
      <c r="H231" s="8">
        <f>H232</f>
        <v>12530.7</v>
      </c>
    </row>
    <row r="232" spans="1:8" ht="59.25" customHeight="1" outlineLevel="1">
      <c r="A232" s="15" t="s">
        <v>497</v>
      </c>
      <c r="B232" s="14" t="s">
        <v>273</v>
      </c>
      <c r="C232" s="7" t="s">
        <v>211</v>
      </c>
      <c r="D232" s="7" t="s">
        <v>195</v>
      </c>
      <c r="E232" s="7" t="s">
        <v>167</v>
      </c>
      <c r="F232" s="7" t="s">
        <v>496</v>
      </c>
      <c r="G232" s="8">
        <v>24654.3</v>
      </c>
      <c r="H232" s="8">
        <f>12530.7</f>
        <v>12530.7</v>
      </c>
    </row>
    <row r="233" spans="1:8" ht="62.25" customHeight="1" hidden="1" outlineLevel="1">
      <c r="A233" s="15" t="s">
        <v>331</v>
      </c>
      <c r="B233" s="14" t="s">
        <v>273</v>
      </c>
      <c r="C233" s="7" t="s">
        <v>211</v>
      </c>
      <c r="D233" s="7" t="s">
        <v>195</v>
      </c>
      <c r="E233" s="7" t="s">
        <v>332</v>
      </c>
      <c r="F233" s="7"/>
      <c r="G233" s="8">
        <f>G234</f>
        <v>0</v>
      </c>
      <c r="H233" s="8">
        <f>H234</f>
        <v>0</v>
      </c>
    </row>
    <row r="234" spans="1:8" ht="17.25" customHeight="1" hidden="1" outlineLevel="1">
      <c r="A234" s="15" t="s">
        <v>123</v>
      </c>
      <c r="B234" s="14" t="s">
        <v>273</v>
      </c>
      <c r="C234" s="7" t="s">
        <v>211</v>
      </c>
      <c r="D234" s="7" t="s">
        <v>195</v>
      </c>
      <c r="E234" s="7" t="s">
        <v>332</v>
      </c>
      <c r="F234" s="7" t="s">
        <v>34</v>
      </c>
      <c r="G234" s="8">
        <v>0</v>
      </c>
      <c r="H234" s="8">
        <v>0</v>
      </c>
    </row>
    <row r="235" spans="1:8" ht="58.5" customHeight="1" outlineLevel="1">
      <c r="A235" s="15" t="s">
        <v>465</v>
      </c>
      <c r="B235" s="14" t="s">
        <v>273</v>
      </c>
      <c r="C235" s="7" t="s">
        <v>211</v>
      </c>
      <c r="D235" s="7" t="s">
        <v>195</v>
      </c>
      <c r="E235" s="7" t="s">
        <v>332</v>
      </c>
      <c r="F235" s="7"/>
      <c r="G235" s="8">
        <f>G236</f>
        <v>302.1</v>
      </c>
      <c r="H235" s="8">
        <f>H236</f>
        <v>302.1</v>
      </c>
    </row>
    <row r="236" spans="1:11" ht="57" customHeight="1" outlineLevel="1">
      <c r="A236" s="15" t="s">
        <v>497</v>
      </c>
      <c r="B236" s="14" t="s">
        <v>273</v>
      </c>
      <c r="C236" s="7" t="s">
        <v>211</v>
      </c>
      <c r="D236" s="7" t="s">
        <v>195</v>
      </c>
      <c r="E236" s="7" t="s">
        <v>332</v>
      </c>
      <c r="F236" s="7" t="s">
        <v>496</v>
      </c>
      <c r="G236" s="8">
        <v>302.1</v>
      </c>
      <c r="H236" s="8">
        <v>302.1</v>
      </c>
      <c r="I236" s="1"/>
      <c r="J236" s="1"/>
      <c r="K236" s="1"/>
    </row>
    <row r="237" spans="1:8" ht="19.5" customHeight="1" outlineLevel="1">
      <c r="A237" s="17" t="s">
        <v>6</v>
      </c>
      <c r="B237" s="30" t="s">
        <v>273</v>
      </c>
      <c r="C237" s="6" t="s">
        <v>222</v>
      </c>
      <c r="D237" s="6" t="s">
        <v>194</v>
      </c>
      <c r="E237" s="6"/>
      <c r="F237" s="6"/>
      <c r="G237" s="4">
        <f>G238</f>
        <v>2000</v>
      </c>
      <c r="H237" s="4">
        <f>H238</f>
        <v>1135.9</v>
      </c>
    </row>
    <row r="238" spans="1:8" ht="33.75" customHeight="1" outlineLevel="1">
      <c r="A238" s="18" t="s">
        <v>126</v>
      </c>
      <c r="B238" s="14" t="s">
        <v>273</v>
      </c>
      <c r="C238" s="7" t="s">
        <v>222</v>
      </c>
      <c r="D238" s="7" t="s">
        <v>222</v>
      </c>
      <c r="E238" s="7"/>
      <c r="F238" s="7"/>
      <c r="G238" s="8">
        <f>G239+G245+G242</f>
        <v>2000</v>
      </c>
      <c r="H238" s="8">
        <f>H239+H245+H242</f>
        <v>1135.9</v>
      </c>
    </row>
    <row r="239" spans="1:8" ht="30" customHeight="1" outlineLevel="1">
      <c r="A239" s="15" t="s">
        <v>71</v>
      </c>
      <c r="B239" s="14" t="s">
        <v>273</v>
      </c>
      <c r="C239" s="7" t="s">
        <v>222</v>
      </c>
      <c r="D239" s="7" t="s">
        <v>222</v>
      </c>
      <c r="E239" s="7" t="s">
        <v>72</v>
      </c>
      <c r="F239" s="7"/>
      <c r="G239" s="8">
        <f>G240</f>
        <v>1500</v>
      </c>
      <c r="H239" s="8">
        <f>H240</f>
        <v>880.7</v>
      </c>
    </row>
    <row r="240" spans="1:8" ht="29.25" customHeight="1" outlineLevel="1">
      <c r="A240" s="11" t="s">
        <v>265</v>
      </c>
      <c r="B240" s="14" t="s">
        <v>273</v>
      </c>
      <c r="C240" s="7" t="s">
        <v>222</v>
      </c>
      <c r="D240" s="7" t="s">
        <v>222</v>
      </c>
      <c r="E240" s="7" t="s">
        <v>73</v>
      </c>
      <c r="F240" s="7"/>
      <c r="G240" s="8">
        <f>G241+G244</f>
        <v>1500</v>
      </c>
      <c r="H240" s="8">
        <f>H241+H244</f>
        <v>880.7</v>
      </c>
    </row>
    <row r="241" spans="1:8" ht="27.75" customHeight="1" outlineLevel="1">
      <c r="A241" s="15" t="s">
        <v>467</v>
      </c>
      <c r="B241" s="14" t="s">
        <v>273</v>
      </c>
      <c r="C241" s="7" t="s">
        <v>222</v>
      </c>
      <c r="D241" s="7" t="s">
        <v>222</v>
      </c>
      <c r="E241" s="7" t="s">
        <v>73</v>
      </c>
      <c r="F241" s="7" t="s">
        <v>466</v>
      </c>
      <c r="G241" s="8">
        <v>1500</v>
      </c>
      <c r="H241" s="8">
        <f>880.7</f>
        <v>880.7</v>
      </c>
    </row>
    <row r="242" spans="1:8" ht="27.75" customHeight="1" outlineLevel="1">
      <c r="A242" s="15" t="s">
        <v>522</v>
      </c>
      <c r="B242" s="14" t="s">
        <v>273</v>
      </c>
      <c r="C242" s="7" t="s">
        <v>222</v>
      </c>
      <c r="D242" s="7" t="s">
        <v>222</v>
      </c>
      <c r="E242" s="7" t="s">
        <v>521</v>
      </c>
      <c r="F242" s="7"/>
      <c r="G242" s="8">
        <f>G243</f>
        <v>500</v>
      </c>
      <c r="H242" s="8">
        <f>H243</f>
        <v>255.2</v>
      </c>
    </row>
    <row r="243" spans="1:8" ht="27.75" customHeight="1" outlineLevel="1">
      <c r="A243" s="20" t="s">
        <v>506</v>
      </c>
      <c r="B243" s="14" t="s">
        <v>273</v>
      </c>
      <c r="C243" s="7" t="s">
        <v>222</v>
      </c>
      <c r="D243" s="7" t="s">
        <v>222</v>
      </c>
      <c r="E243" s="7" t="s">
        <v>521</v>
      </c>
      <c r="F243" s="7" t="s">
        <v>505</v>
      </c>
      <c r="G243" s="8">
        <v>500</v>
      </c>
      <c r="H243" s="8">
        <f>255.2</f>
        <v>255.2</v>
      </c>
    </row>
    <row r="244" spans="1:8" ht="92.25" customHeight="1" hidden="1" outlineLevel="2">
      <c r="A244" s="15" t="s">
        <v>386</v>
      </c>
      <c r="B244" s="14" t="s">
        <v>273</v>
      </c>
      <c r="C244" s="10" t="s">
        <v>222</v>
      </c>
      <c r="D244" s="7" t="s">
        <v>222</v>
      </c>
      <c r="E244" s="7" t="s">
        <v>385</v>
      </c>
      <c r="F244" s="7" t="s">
        <v>13</v>
      </c>
      <c r="G244" s="8">
        <v>0</v>
      </c>
      <c r="H244" s="8">
        <v>0</v>
      </c>
    </row>
    <row r="245" spans="1:8" ht="77.25" customHeight="1" hidden="1" outlineLevel="2">
      <c r="A245" s="15" t="s">
        <v>340</v>
      </c>
      <c r="B245" s="14" t="s">
        <v>273</v>
      </c>
      <c r="C245" s="10" t="s">
        <v>222</v>
      </c>
      <c r="D245" s="7" t="s">
        <v>222</v>
      </c>
      <c r="E245" s="7" t="s">
        <v>341</v>
      </c>
      <c r="F245" s="7"/>
      <c r="G245" s="8">
        <f>G246</f>
        <v>0</v>
      </c>
      <c r="H245" s="8">
        <f>H246</f>
        <v>0</v>
      </c>
    </row>
    <row r="246" spans="1:8" ht="35.25" customHeight="1" hidden="1" outlineLevel="2">
      <c r="A246" s="15" t="s">
        <v>35</v>
      </c>
      <c r="B246" s="14" t="s">
        <v>273</v>
      </c>
      <c r="C246" s="10" t="s">
        <v>222</v>
      </c>
      <c r="D246" s="7" t="s">
        <v>222</v>
      </c>
      <c r="E246" s="7" t="s">
        <v>341</v>
      </c>
      <c r="F246" s="7" t="s">
        <v>13</v>
      </c>
      <c r="G246" s="8">
        <v>0</v>
      </c>
      <c r="H246" s="8">
        <v>0</v>
      </c>
    </row>
    <row r="247" spans="1:8" ht="18.75" customHeight="1" outlineLevel="1" collapsed="1">
      <c r="A247" s="17" t="s">
        <v>133</v>
      </c>
      <c r="B247" s="30" t="s">
        <v>273</v>
      </c>
      <c r="C247" s="6" t="s">
        <v>224</v>
      </c>
      <c r="D247" s="6" t="s">
        <v>194</v>
      </c>
      <c r="E247" s="6"/>
      <c r="F247" s="6"/>
      <c r="G247" s="4">
        <f>G248+G271</f>
        <v>6250</v>
      </c>
      <c r="H247" s="4">
        <f>H248+H271</f>
        <v>3783.3</v>
      </c>
    </row>
    <row r="248" spans="1:8" ht="15" customHeight="1" outlineLevel="1">
      <c r="A248" s="18" t="s">
        <v>127</v>
      </c>
      <c r="B248" s="14" t="s">
        <v>273</v>
      </c>
      <c r="C248" s="7" t="s">
        <v>224</v>
      </c>
      <c r="D248" s="7" t="s">
        <v>193</v>
      </c>
      <c r="E248" s="7"/>
      <c r="F248" s="7"/>
      <c r="G248" s="8">
        <f>G249+G266</f>
        <v>4800</v>
      </c>
      <c r="H248" s="8">
        <f>H249+H266</f>
        <v>2433.3</v>
      </c>
    </row>
    <row r="249" spans="1:8" ht="29.25" customHeight="1" outlineLevel="1">
      <c r="A249" s="11" t="s">
        <v>239</v>
      </c>
      <c r="B249" s="14" t="s">
        <v>273</v>
      </c>
      <c r="C249" s="7" t="s">
        <v>224</v>
      </c>
      <c r="D249" s="7" t="s">
        <v>193</v>
      </c>
      <c r="E249" s="7" t="s">
        <v>79</v>
      </c>
      <c r="F249" s="7"/>
      <c r="G249" s="8">
        <f>G250</f>
        <v>3600</v>
      </c>
      <c r="H249" s="8">
        <f>H250</f>
        <v>1233.3</v>
      </c>
    </row>
    <row r="250" spans="1:8" ht="15" customHeight="1" outlineLevel="1">
      <c r="A250" s="11" t="s">
        <v>287</v>
      </c>
      <c r="B250" s="14" t="s">
        <v>273</v>
      </c>
      <c r="C250" s="7" t="s">
        <v>224</v>
      </c>
      <c r="D250" s="7" t="s">
        <v>193</v>
      </c>
      <c r="E250" s="7" t="s">
        <v>146</v>
      </c>
      <c r="F250" s="7"/>
      <c r="G250" s="8">
        <f>G252+G254+G265</f>
        <v>3600</v>
      </c>
      <c r="H250" s="8">
        <f>H252+H254+H265</f>
        <v>1233.3</v>
      </c>
    </row>
    <row r="251" spans="1:8" ht="28.5" customHeight="1" outlineLevel="1">
      <c r="A251" s="11" t="s">
        <v>294</v>
      </c>
      <c r="B251" s="14" t="s">
        <v>273</v>
      </c>
      <c r="C251" s="7" t="s">
        <v>224</v>
      </c>
      <c r="D251" s="7" t="s">
        <v>193</v>
      </c>
      <c r="E251" s="7" t="s">
        <v>147</v>
      </c>
      <c r="F251" s="7"/>
      <c r="G251" s="8">
        <f>G252</f>
        <v>2350</v>
      </c>
      <c r="H251" s="8">
        <f>H252</f>
        <v>1145</v>
      </c>
    </row>
    <row r="252" spans="1:8" ht="29.25" customHeight="1" outlineLevel="1">
      <c r="A252" s="15" t="s">
        <v>467</v>
      </c>
      <c r="B252" s="14" t="s">
        <v>273</v>
      </c>
      <c r="C252" s="7" t="s">
        <v>224</v>
      </c>
      <c r="D252" s="7" t="s">
        <v>193</v>
      </c>
      <c r="E252" s="7" t="s">
        <v>147</v>
      </c>
      <c r="F252" s="7" t="s">
        <v>466</v>
      </c>
      <c r="G252" s="8">
        <v>2350</v>
      </c>
      <c r="H252" s="8">
        <f>1145</f>
        <v>1145</v>
      </c>
    </row>
    <row r="253" spans="1:8" ht="29.25" customHeight="1" outlineLevel="1">
      <c r="A253" s="11" t="s">
        <v>240</v>
      </c>
      <c r="B253" s="14" t="s">
        <v>273</v>
      </c>
      <c r="C253" s="7" t="s">
        <v>224</v>
      </c>
      <c r="D253" s="7" t="s">
        <v>193</v>
      </c>
      <c r="E253" s="7" t="s">
        <v>148</v>
      </c>
      <c r="F253" s="7"/>
      <c r="G253" s="8">
        <f>G254</f>
        <v>850</v>
      </c>
      <c r="H253" s="8">
        <f>H254</f>
        <v>0</v>
      </c>
    </row>
    <row r="254" spans="1:8" ht="30.75" customHeight="1" outlineLevel="1">
      <c r="A254" s="15" t="s">
        <v>467</v>
      </c>
      <c r="B254" s="14" t="s">
        <v>273</v>
      </c>
      <c r="C254" s="7" t="s">
        <v>224</v>
      </c>
      <c r="D254" s="7" t="s">
        <v>193</v>
      </c>
      <c r="E254" s="7" t="s">
        <v>148</v>
      </c>
      <c r="F254" s="7" t="s">
        <v>466</v>
      </c>
      <c r="G254" s="8">
        <v>850</v>
      </c>
      <c r="H254" s="8">
        <v>0</v>
      </c>
    </row>
    <row r="255" spans="1:8" ht="90.75" customHeight="1" hidden="1" outlineLevel="1">
      <c r="A255" s="15" t="s">
        <v>371</v>
      </c>
      <c r="B255" s="14" t="s">
        <v>273</v>
      </c>
      <c r="C255" s="7" t="s">
        <v>224</v>
      </c>
      <c r="D255" s="7" t="s">
        <v>193</v>
      </c>
      <c r="E255" s="7" t="s">
        <v>370</v>
      </c>
      <c r="F255" s="7"/>
      <c r="G255" s="8">
        <f>G256</f>
        <v>0</v>
      </c>
      <c r="H255" s="8">
        <f>H256</f>
        <v>0</v>
      </c>
    </row>
    <row r="256" spans="1:8" ht="30.75" customHeight="1" hidden="1" outlineLevel="1">
      <c r="A256" s="15" t="s">
        <v>35</v>
      </c>
      <c r="B256" s="14" t="s">
        <v>273</v>
      </c>
      <c r="C256" s="7" t="s">
        <v>224</v>
      </c>
      <c r="D256" s="7" t="s">
        <v>193</v>
      </c>
      <c r="E256" s="7" t="s">
        <v>370</v>
      </c>
      <c r="F256" s="7" t="s">
        <v>13</v>
      </c>
      <c r="G256" s="8">
        <v>0</v>
      </c>
      <c r="H256" s="8">
        <v>0</v>
      </c>
    </row>
    <row r="257" spans="1:8" ht="30.75" customHeight="1" hidden="1" outlineLevel="1">
      <c r="A257" s="15" t="s">
        <v>390</v>
      </c>
      <c r="B257" s="14" t="s">
        <v>273</v>
      </c>
      <c r="C257" s="7" t="s">
        <v>224</v>
      </c>
      <c r="D257" s="7" t="s">
        <v>193</v>
      </c>
      <c r="E257" s="7" t="s">
        <v>389</v>
      </c>
      <c r="F257" s="7"/>
      <c r="G257" s="8">
        <f>G258</f>
        <v>0</v>
      </c>
      <c r="H257" s="8">
        <f>H258</f>
        <v>0</v>
      </c>
    </row>
    <row r="258" spans="1:8" ht="30.75" customHeight="1" hidden="1" outlineLevel="1">
      <c r="A258" s="15" t="s">
        <v>35</v>
      </c>
      <c r="B258" s="14" t="s">
        <v>273</v>
      </c>
      <c r="C258" s="7" t="s">
        <v>224</v>
      </c>
      <c r="D258" s="7" t="s">
        <v>193</v>
      </c>
      <c r="E258" s="7" t="s">
        <v>389</v>
      </c>
      <c r="F258" s="7" t="s">
        <v>13</v>
      </c>
      <c r="G258" s="8">
        <v>0</v>
      </c>
      <c r="H258" s="8">
        <v>0</v>
      </c>
    </row>
    <row r="259" spans="1:8" ht="32.25" customHeight="1" hidden="1" outlineLevel="1">
      <c r="A259" s="15" t="s">
        <v>305</v>
      </c>
      <c r="B259" s="14" t="s">
        <v>273</v>
      </c>
      <c r="C259" s="7" t="s">
        <v>224</v>
      </c>
      <c r="D259" s="7" t="s">
        <v>193</v>
      </c>
      <c r="E259" s="7" t="s">
        <v>306</v>
      </c>
      <c r="F259" s="7"/>
      <c r="G259" s="8">
        <f>G260</f>
        <v>0</v>
      </c>
      <c r="H259" s="8">
        <f>H260</f>
        <v>0</v>
      </c>
    </row>
    <row r="260" spans="1:8" ht="30.75" customHeight="1" hidden="1" outlineLevel="1">
      <c r="A260" s="15" t="s">
        <v>14</v>
      </c>
      <c r="B260" s="14" t="s">
        <v>273</v>
      </c>
      <c r="C260" s="7" t="s">
        <v>224</v>
      </c>
      <c r="D260" s="7" t="s">
        <v>193</v>
      </c>
      <c r="E260" s="7" t="s">
        <v>306</v>
      </c>
      <c r="F260" s="7" t="s">
        <v>13</v>
      </c>
      <c r="G260" s="8">
        <v>0</v>
      </c>
      <c r="H260" s="8">
        <v>0</v>
      </c>
    </row>
    <row r="261" spans="1:8" ht="31.5" customHeight="1" hidden="1" outlineLevel="1">
      <c r="A261" s="15" t="s">
        <v>310</v>
      </c>
      <c r="B261" s="14" t="s">
        <v>273</v>
      </c>
      <c r="C261" s="7" t="s">
        <v>224</v>
      </c>
      <c r="D261" s="7" t="s">
        <v>193</v>
      </c>
      <c r="E261" s="7" t="s">
        <v>33</v>
      </c>
      <c r="F261" s="7"/>
      <c r="G261" s="8">
        <f>G262</f>
        <v>0</v>
      </c>
      <c r="H261" s="8">
        <f>H262</f>
        <v>0</v>
      </c>
    </row>
    <row r="262" spans="1:8" ht="31.5" customHeight="1" hidden="1" outlineLevel="1">
      <c r="A262" s="15" t="s">
        <v>333</v>
      </c>
      <c r="B262" s="14" t="s">
        <v>273</v>
      </c>
      <c r="C262" s="7" t="s">
        <v>224</v>
      </c>
      <c r="D262" s="7" t="s">
        <v>193</v>
      </c>
      <c r="E262" s="7" t="s">
        <v>186</v>
      </c>
      <c r="F262" s="7"/>
      <c r="G262" s="8">
        <f>G263</f>
        <v>0</v>
      </c>
      <c r="H262" s="8">
        <f>H263</f>
        <v>0</v>
      </c>
    </row>
    <row r="263" spans="1:8" ht="30.75" customHeight="1" hidden="1" outlineLevel="1">
      <c r="A263" s="15" t="s">
        <v>14</v>
      </c>
      <c r="B263" s="14" t="s">
        <v>273</v>
      </c>
      <c r="C263" s="7" t="s">
        <v>224</v>
      </c>
      <c r="D263" s="7" t="s">
        <v>193</v>
      </c>
      <c r="E263" s="7" t="s">
        <v>186</v>
      </c>
      <c r="F263" s="7" t="s">
        <v>13</v>
      </c>
      <c r="G263" s="8">
        <v>0</v>
      </c>
      <c r="H263" s="8">
        <v>0</v>
      </c>
    </row>
    <row r="264" spans="1:8" ht="89.25" customHeight="1" outlineLevel="1">
      <c r="A264" s="36" t="s">
        <v>517</v>
      </c>
      <c r="B264" s="14" t="s">
        <v>273</v>
      </c>
      <c r="C264" s="7" t="s">
        <v>224</v>
      </c>
      <c r="D264" s="7" t="s">
        <v>193</v>
      </c>
      <c r="E264" s="7" t="s">
        <v>370</v>
      </c>
      <c r="F264" s="7"/>
      <c r="G264" s="8">
        <f>G265</f>
        <v>400</v>
      </c>
      <c r="H264" s="8">
        <f>H265</f>
        <v>88.3</v>
      </c>
    </row>
    <row r="265" spans="1:8" ht="29.25" customHeight="1" outlineLevel="1">
      <c r="A265" s="15" t="s">
        <v>467</v>
      </c>
      <c r="B265" s="14" t="s">
        <v>273</v>
      </c>
      <c r="C265" s="7" t="s">
        <v>224</v>
      </c>
      <c r="D265" s="7" t="s">
        <v>193</v>
      </c>
      <c r="E265" s="7" t="s">
        <v>370</v>
      </c>
      <c r="F265" s="7" t="s">
        <v>466</v>
      </c>
      <c r="G265" s="8">
        <v>400</v>
      </c>
      <c r="H265" s="8">
        <f>88.3</f>
        <v>88.3</v>
      </c>
    </row>
    <row r="266" spans="1:8" ht="27" customHeight="1" outlineLevel="1">
      <c r="A266" s="15" t="s">
        <v>451</v>
      </c>
      <c r="B266" s="14" t="s">
        <v>273</v>
      </c>
      <c r="C266" s="7" t="s">
        <v>224</v>
      </c>
      <c r="D266" s="7" t="s">
        <v>193</v>
      </c>
      <c r="E266" s="7" t="s">
        <v>450</v>
      </c>
      <c r="F266" s="7"/>
      <c r="G266" s="8">
        <f>G267+G269</f>
        <v>1200</v>
      </c>
      <c r="H266" s="8">
        <f>H267+H269</f>
        <v>1200</v>
      </c>
    </row>
    <row r="267" spans="1:8" ht="30.75" customHeight="1" outlineLevel="1">
      <c r="A267" s="36" t="s">
        <v>305</v>
      </c>
      <c r="B267" s="14" t="s">
        <v>273</v>
      </c>
      <c r="C267" s="7" t="s">
        <v>224</v>
      </c>
      <c r="D267" s="7" t="s">
        <v>193</v>
      </c>
      <c r="E267" s="7" t="s">
        <v>306</v>
      </c>
      <c r="F267" s="7"/>
      <c r="G267" s="8">
        <f>G268</f>
        <v>1200</v>
      </c>
      <c r="H267" s="8">
        <f>H268</f>
        <v>1200</v>
      </c>
    </row>
    <row r="268" spans="1:8" ht="30.75" customHeight="1" outlineLevel="1">
      <c r="A268" s="15" t="s">
        <v>467</v>
      </c>
      <c r="B268" s="14" t="s">
        <v>273</v>
      </c>
      <c r="C268" s="7" t="s">
        <v>224</v>
      </c>
      <c r="D268" s="7" t="s">
        <v>193</v>
      </c>
      <c r="E268" s="7" t="s">
        <v>306</v>
      </c>
      <c r="F268" s="7" t="s">
        <v>466</v>
      </c>
      <c r="G268" s="8">
        <v>1200</v>
      </c>
      <c r="H268" s="8">
        <v>1200</v>
      </c>
    </row>
    <row r="269" spans="1:8" ht="47.25" customHeight="1" hidden="1" outlineLevel="1">
      <c r="A269" s="15" t="s">
        <v>525</v>
      </c>
      <c r="B269" s="14" t="s">
        <v>273</v>
      </c>
      <c r="C269" s="7" t="s">
        <v>224</v>
      </c>
      <c r="D269" s="7" t="s">
        <v>193</v>
      </c>
      <c r="E269" s="7" t="s">
        <v>344</v>
      </c>
      <c r="F269" s="7"/>
      <c r="G269" s="8">
        <f>G270</f>
        <v>0</v>
      </c>
      <c r="H269" s="8">
        <f>H270</f>
        <v>0</v>
      </c>
    </row>
    <row r="270" spans="1:8" ht="30.75" customHeight="1" hidden="1" outlineLevel="1">
      <c r="A270" s="15" t="s">
        <v>489</v>
      </c>
      <c r="B270" s="14" t="s">
        <v>273</v>
      </c>
      <c r="C270" s="7" t="s">
        <v>224</v>
      </c>
      <c r="D270" s="7" t="s">
        <v>193</v>
      </c>
      <c r="E270" s="7" t="s">
        <v>344</v>
      </c>
      <c r="F270" s="7" t="s">
        <v>488</v>
      </c>
      <c r="G270" s="8">
        <v>0</v>
      </c>
      <c r="H270" s="8">
        <v>0</v>
      </c>
    </row>
    <row r="271" spans="1:8" ht="15" customHeight="1" outlineLevel="1">
      <c r="A271" s="18" t="s">
        <v>137</v>
      </c>
      <c r="B271" s="14" t="s">
        <v>273</v>
      </c>
      <c r="C271" s="7" t="s">
        <v>224</v>
      </c>
      <c r="D271" s="7" t="s">
        <v>214</v>
      </c>
      <c r="E271" s="7"/>
      <c r="F271" s="7"/>
      <c r="G271" s="8">
        <f>G272</f>
        <v>1450</v>
      </c>
      <c r="H271" s="8">
        <f>H272</f>
        <v>1350</v>
      </c>
    </row>
    <row r="272" spans="1:8" ht="29.25" customHeight="1" outlineLevel="1">
      <c r="A272" s="15" t="s">
        <v>300</v>
      </c>
      <c r="B272" s="14" t="s">
        <v>273</v>
      </c>
      <c r="C272" s="7" t="s">
        <v>224</v>
      </c>
      <c r="D272" s="7" t="s">
        <v>214</v>
      </c>
      <c r="E272" s="7" t="s">
        <v>114</v>
      </c>
      <c r="F272" s="7"/>
      <c r="G272" s="8">
        <f>G274+G276+G277</f>
        <v>1450</v>
      </c>
      <c r="H272" s="8">
        <f>H274+H276+H277</f>
        <v>1350</v>
      </c>
    </row>
    <row r="273" spans="1:8" ht="29.25" customHeight="1" outlineLevel="1">
      <c r="A273" s="15" t="s">
        <v>301</v>
      </c>
      <c r="B273" s="14" t="s">
        <v>273</v>
      </c>
      <c r="C273" s="7" t="s">
        <v>224</v>
      </c>
      <c r="D273" s="7" t="s">
        <v>214</v>
      </c>
      <c r="E273" s="7" t="s">
        <v>245</v>
      </c>
      <c r="F273" s="7"/>
      <c r="G273" s="8">
        <f>G274</f>
        <v>100</v>
      </c>
      <c r="H273" s="8">
        <f>H274</f>
        <v>0</v>
      </c>
    </row>
    <row r="274" spans="1:8" ht="30.75" customHeight="1" outlineLevel="1">
      <c r="A274" s="15" t="s">
        <v>467</v>
      </c>
      <c r="B274" s="14" t="s">
        <v>273</v>
      </c>
      <c r="C274" s="7" t="s">
        <v>224</v>
      </c>
      <c r="D274" s="7" t="s">
        <v>214</v>
      </c>
      <c r="E274" s="7" t="s">
        <v>245</v>
      </c>
      <c r="F274" s="7" t="s">
        <v>466</v>
      </c>
      <c r="G274" s="8">
        <v>100</v>
      </c>
      <c r="H274" s="8">
        <v>0</v>
      </c>
    </row>
    <row r="275" spans="1:8" ht="33" customHeight="1" outlineLevel="1">
      <c r="A275" s="15" t="s">
        <v>302</v>
      </c>
      <c r="B275" s="14" t="s">
        <v>273</v>
      </c>
      <c r="C275" s="7" t="s">
        <v>224</v>
      </c>
      <c r="D275" s="7" t="s">
        <v>214</v>
      </c>
      <c r="E275" s="7" t="s">
        <v>246</v>
      </c>
      <c r="F275" s="7"/>
      <c r="G275" s="8">
        <f>G276</f>
        <v>850</v>
      </c>
      <c r="H275" s="8">
        <f>H276</f>
        <v>850</v>
      </c>
    </row>
    <row r="276" spans="1:8" ht="33" customHeight="1" outlineLevel="1">
      <c r="A276" s="15" t="s">
        <v>467</v>
      </c>
      <c r="B276" s="14" t="s">
        <v>273</v>
      </c>
      <c r="C276" s="7" t="s">
        <v>224</v>
      </c>
      <c r="D276" s="7" t="s">
        <v>214</v>
      </c>
      <c r="E276" s="7" t="s">
        <v>246</v>
      </c>
      <c r="F276" s="7" t="s">
        <v>466</v>
      </c>
      <c r="G276" s="8">
        <v>850</v>
      </c>
      <c r="H276" s="8">
        <v>850</v>
      </c>
    </row>
    <row r="277" spans="1:8" ht="33" customHeight="1" outlineLevel="1">
      <c r="A277" s="15" t="s">
        <v>452</v>
      </c>
      <c r="B277" s="14" t="s">
        <v>273</v>
      </c>
      <c r="C277" s="7" t="s">
        <v>224</v>
      </c>
      <c r="D277" s="7" t="s">
        <v>214</v>
      </c>
      <c r="E277" s="7" t="s">
        <v>449</v>
      </c>
      <c r="F277" s="43"/>
      <c r="G277" s="44">
        <f>G278</f>
        <v>500</v>
      </c>
      <c r="H277" s="44">
        <f>H278</f>
        <v>500</v>
      </c>
    </row>
    <row r="278" spans="1:8" ht="33" customHeight="1" outlineLevel="1">
      <c r="A278" s="15" t="s">
        <v>467</v>
      </c>
      <c r="B278" s="14" t="s">
        <v>273</v>
      </c>
      <c r="C278" s="7" t="s">
        <v>224</v>
      </c>
      <c r="D278" s="7" t="s">
        <v>214</v>
      </c>
      <c r="E278" s="7" t="s">
        <v>449</v>
      </c>
      <c r="F278" s="7" t="s">
        <v>466</v>
      </c>
      <c r="G278" s="8">
        <v>500</v>
      </c>
      <c r="H278" s="8">
        <v>500</v>
      </c>
    </row>
    <row r="279" spans="1:8" ht="15.75" customHeight="1" outlineLevel="1">
      <c r="A279" s="17" t="s">
        <v>8</v>
      </c>
      <c r="B279" s="30" t="s">
        <v>273</v>
      </c>
      <c r="C279" s="6" t="s">
        <v>208</v>
      </c>
      <c r="D279" s="6" t="s">
        <v>194</v>
      </c>
      <c r="E279" s="6"/>
      <c r="F279" s="6"/>
      <c r="G279" s="4">
        <f>G280+G284</f>
        <v>46399.6</v>
      </c>
      <c r="H279" s="4">
        <f>H280+H284</f>
        <v>23006.9</v>
      </c>
    </row>
    <row r="280" spans="1:8" ht="15" customHeight="1" outlineLevel="1">
      <c r="A280" s="37" t="s">
        <v>102</v>
      </c>
      <c r="B280" s="14" t="s">
        <v>273</v>
      </c>
      <c r="C280" s="7" t="s">
        <v>208</v>
      </c>
      <c r="D280" s="7" t="s">
        <v>193</v>
      </c>
      <c r="E280" s="7"/>
      <c r="F280" s="7"/>
      <c r="G280" s="8">
        <f aca="true" t="shared" si="4" ref="G280:H282">G281</f>
        <v>1200</v>
      </c>
      <c r="H280" s="8">
        <f t="shared" si="4"/>
        <v>498.4</v>
      </c>
    </row>
    <row r="281" spans="1:8" ht="32.25" customHeight="1" outlineLevel="1">
      <c r="A281" s="15" t="s">
        <v>103</v>
      </c>
      <c r="B281" s="14" t="s">
        <v>273</v>
      </c>
      <c r="C281" s="7" t="s">
        <v>208</v>
      </c>
      <c r="D281" s="7" t="s">
        <v>193</v>
      </c>
      <c r="E281" s="7" t="s">
        <v>104</v>
      </c>
      <c r="F281" s="7"/>
      <c r="G281" s="8">
        <f t="shared" si="4"/>
        <v>1200</v>
      </c>
      <c r="H281" s="8">
        <f t="shared" si="4"/>
        <v>498.4</v>
      </c>
    </row>
    <row r="282" spans="1:8" ht="27.75" customHeight="1" outlineLevel="1">
      <c r="A282" s="15" t="s">
        <v>105</v>
      </c>
      <c r="B282" s="14" t="s">
        <v>273</v>
      </c>
      <c r="C282" s="7" t="s">
        <v>208</v>
      </c>
      <c r="D282" s="7" t="s">
        <v>193</v>
      </c>
      <c r="E282" s="7" t="s">
        <v>106</v>
      </c>
      <c r="F282" s="7"/>
      <c r="G282" s="8">
        <f t="shared" si="4"/>
        <v>1200</v>
      </c>
      <c r="H282" s="8">
        <f t="shared" si="4"/>
        <v>498.4</v>
      </c>
    </row>
    <row r="283" spans="1:8" ht="61.5" customHeight="1" outlineLevel="1">
      <c r="A283" s="15" t="s">
        <v>480</v>
      </c>
      <c r="B283" s="14" t="s">
        <v>273</v>
      </c>
      <c r="C283" s="7" t="s">
        <v>208</v>
      </c>
      <c r="D283" s="7" t="s">
        <v>193</v>
      </c>
      <c r="E283" s="7" t="s">
        <v>106</v>
      </c>
      <c r="F283" s="7" t="s">
        <v>479</v>
      </c>
      <c r="G283" s="8">
        <v>1200</v>
      </c>
      <c r="H283" s="8">
        <f>498.4</f>
        <v>498.4</v>
      </c>
    </row>
    <row r="284" spans="1:8" ht="15" customHeight="1" outlineLevel="1">
      <c r="A284" s="87" t="s">
        <v>107</v>
      </c>
      <c r="B284" s="14" t="s">
        <v>273</v>
      </c>
      <c r="C284" s="7" t="s">
        <v>208</v>
      </c>
      <c r="D284" s="9" t="s">
        <v>195</v>
      </c>
      <c r="E284" s="32"/>
      <c r="F284" s="32"/>
      <c r="G284" s="8">
        <f>G285+G290+G317+G335+G327+G333</f>
        <v>45199.6</v>
      </c>
      <c r="H284" s="8">
        <f>H285+H290+H317+H335+H327+H333</f>
        <v>22508.5</v>
      </c>
    </row>
    <row r="285" spans="1:8" ht="15" customHeight="1" outlineLevel="1">
      <c r="A285" s="20" t="s">
        <v>430</v>
      </c>
      <c r="B285" s="14" t="s">
        <v>273</v>
      </c>
      <c r="C285" s="7" t="s">
        <v>208</v>
      </c>
      <c r="D285" s="7" t="s">
        <v>195</v>
      </c>
      <c r="E285" s="5">
        <v>1008800</v>
      </c>
      <c r="F285" s="32"/>
      <c r="G285" s="8">
        <f>G286</f>
        <v>1002.2</v>
      </c>
      <c r="H285" s="8">
        <f>H286</f>
        <v>703.1</v>
      </c>
    </row>
    <row r="286" spans="1:8" ht="15" customHeight="1" outlineLevel="1">
      <c r="A286" s="15" t="s">
        <v>482</v>
      </c>
      <c r="B286" s="14" t="s">
        <v>273</v>
      </c>
      <c r="C286" s="7" t="s">
        <v>208</v>
      </c>
      <c r="D286" s="7" t="s">
        <v>195</v>
      </c>
      <c r="E286" s="5">
        <v>1008800</v>
      </c>
      <c r="F286" s="9" t="s">
        <v>481</v>
      </c>
      <c r="G286" s="8">
        <f>G287+G288+G289</f>
        <v>1002.2</v>
      </c>
      <c r="H286" s="8">
        <f>H287+H288+H289</f>
        <v>703.1</v>
      </c>
    </row>
    <row r="287" spans="1:8" ht="48.75" customHeight="1" outlineLevel="1">
      <c r="A287" s="20" t="s">
        <v>307</v>
      </c>
      <c r="B287" s="14" t="s">
        <v>273</v>
      </c>
      <c r="C287" s="7" t="s">
        <v>208</v>
      </c>
      <c r="D287" s="7" t="s">
        <v>195</v>
      </c>
      <c r="E287" s="5">
        <v>1008820</v>
      </c>
      <c r="F287" s="7" t="s">
        <v>481</v>
      </c>
      <c r="G287" s="8">
        <v>502.2</v>
      </c>
      <c r="H287" s="8">
        <v>502.2</v>
      </c>
    </row>
    <row r="288" spans="1:8" ht="45" customHeight="1" hidden="1" outlineLevel="2">
      <c r="A288" s="20" t="s">
        <v>308</v>
      </c>
      <c r="B288" s="14" t="s">
        <v>273</v>
      </c>
      <c r="C288" s="7" t="s">
        <v>208</v>
      </c>
      <c r="D288" s="7" t="s">
        <v>195</v>
      </c>
      <c r="E288" s="5">
        <v>1008821</v>
      </c>
      <c r="F288" s="7" t="s">
        <v>90</v>
      </c>
      <c r="G288" s="8">
        <v>0</v>
      </c>
      <c r="H288" s="8">
        <v>0</v>
      </c>
    </row>
    <row r="289" spans="1:8" ht="45" customHeight="1" outlineLevel="1" collapsed="1">
      <c r="A289" s="20" t="s">
        <v>408</v>
      </c>
      <c r="B289" s="14" t="s">
        <v>273</v>
      </c>
      <c r="C289" s="7" t="s">
        <v>208</v>
      </c>
      <c r="D289" s="7" t="s">
        <v>195</v>
      </c>
      <c r="E289" s="5">
        <v>1008822</v>
      </c>
      <c r="F289" s="7" t="s">
        <v>481</v>
      </c>
      <c r="G289" s="8">
        <f>2550-2050</f>
        <v>500</v>
      </c>
      <c r="H289" s="8">
        <v>200.9</v>
      </c>
    </row>
    <row r="290" spans="1:8" ht="15" customHeight="1" outlineLevel="1">
      <c r="A290" s="15" t="s">
        <v>431</v>
      </c>
      <c r="B290" s="14" t="s">
        <v>273</v>
      </c>
      <c r="C290" s="7" t="s">
        <v>208</v>
      </c>
      <c r="D290" s="7" t="s">
        <v>195</v>
      </c>
      <c r="E290" s="32">
        <v>5050000</v>
      </c>
      <c r="F290" s="32"/>
      <c r="G290" s="8">
        <f>G291+G293+G300+G303</f>
        <v>24515</v>
      </c>
      <c r="H290" s="8">
        <f>H291+H293+H300+H303</f>
        <v>8690.400000000001</v>
      </c>
    </row>
    <row r="291" spans="1:8" ht="28.5" customHeight="1" outlineLevel="1">
      <c r="A291" s="20" t="s">
        <v>108</v>
      </c>
      <c r="B291" s="14" t="s">
        <v>273</v>
      </c>
      <c r="C291" s="7" t="s">
        <v>208</v>
      </c>
      <c r="D291" s="7" t="s">
        <v>195</v>
      </c>
      <c r="E291" s="32">
        <v>5053300</v>
      </c>
      <c r="F291" s="32"/>
      <c r="G291" s="8">
        <f>G292</f>
        <v>150</v>
      </c>
      <c r="H291" s="8">
        <f>H292</f>
        <v>119</v>
      </c>
    </row>
    <row r="292" spans="1:8" ht="30.75" customHeight="1" outlineLevel="1">
      <c r="A292" s="15" t="s">
        <v>467</v>
      </c>
      <c r="B292" s="14" t="s">
        <v>273</v>
      </c>
      <c r="C292" s="7" t="s">
        <v>208</v>
      </c>
      <c r="D292" s="7" t="s">
        <v>195</v>
      </c>
      <c r="E292" s="5">
        <v>5053300</v>
      </c>
      <c r="F292" s="7" t="s">
        <v>466</v>
      </c>
      <c r="G292" s="8">
        <v>150</v>
      </c>
      <c r="H292" s="8">
        <f>119</f>
        <v>119</v>
      </c>
    </row>
    <row r="293" spans="1:8" ht="33" customHeight="1" outlineLevel="1">
      <c r="A293" s="20" t="s">
        <v>99</v>
      </c>
      <c r="B293" s="14" t="s">
        <v>273</v>
      </c>
      <c r="C293" s="7" t="s">
        <v>208</v>
      </c>
      <c r="D293" s="7" t="s">
        <v>195</v>
      </c>
      <c r="E293" s="5">
        <v>5054600</v>
      </c>
      <c r="F293" s="5"/>
      <c r="G293" s="8">
        <f>G294+G297</f>
        <v>11230</v>
      </c>
      <c r="H293" s="8">
        <f>H294+H297</f>
        <v>4224.200000000001</v>
      </c>
    </row>
    <row r="294" spans="1:8" ht="46.5" customHeight="1" outlineLevel="1">
      <c r="A294" s="21" t="s">
        <v>293</v>
      </c>
      <c r="B294" s="14" t="s">
        <v>273</v>
      </c>
      <c r="C294" s="7" t="s">
        <v>208</v>
      </c>
      <c r="D294" s="7" t="s">
        <v>195</v>
      </c>
      <c r="E294" s="5">
        <v>5054601</v>
      </c>
      <c r="F294" s="7"/>
      <c r="G294" s="8">
        <f>G295+G296</f>
        <v>10980</v>
      </c>
      <c r="H294" s="8">
        <f>H295+H296</f>
        <v>4131.1</v>
      </c>
    </row>
    <row r="295" spans="1:8" ht="30.75" customHeight="1" outlineLevel="1">
      <c r="A295" s="20" t="s">
        <v>509</v>
      </c>
      <c r="B295" s="14" t="s">
        <v>273</v>
      </c>
      <c r="C295" s="7" t="s">
        <v>208</v>
      </c>
      <c r="D295" s="7" t="s">
        <v>195</v>
      </c>
      <c r="E295" s="5">
        <v>5054601</v>
      </c>
      <c r="F295" s="7" t="s">
        <v>508</v>
      </c>
      <c r="G295" s="8">
        <f>7085+3770</f>
        <v>10855</v>
      </c>
      <c r="H295" s="8">
        <f>4077.1</f>
        <v>4077.1</v>
      </c>
    </row>
    <row r="296" spans="1:8" ht="31.5" customHeight="1" outlineLevel="1">
      <c r="A296" s="20" t="s">
        <v>506</v>
      </c>
      <c r="B296" s="14" t="s">
        <v>273</v>
      </c>
      <c r="C296" s="7" t="s">
        <v>208</v>
      </c>
      <c r="D296" s="7" t="s">
        <v>195</v>
      </c>
      <c r="E296" s="5">
        <v>5054601</v>
      </c>
      <c r="F296" s="7" t="s">
        <v>505</v>
      </c>
      <c r="G296" s="8">
        <f>100+25</f>
        <v>125</v>
      </c>
      <c r="H296" s="8">
        <f>54</f>
        <v>54</v>
      </c>
    </row>
    <row r="297" spans="1:8" ht="47.25" customHeight="1" outlineLevel="1">
      <c r="A297" s="21" t="s">
        <v>432</v>
      </c>
      <c r="B297" s="14" t="s">
        <v>273</v>
      </c>
      <c r="C297" s="7" t="s">
        <v>208</v>
      </c>
      <c r="D297" s="7" t="s">
        <v>195</v>
      </c>
      <c r="E297" s="5">
        <v>5054602</v>
      </c>
      <c r="F297" s="7"/>
      <c r="G297" s="8">
        <f>G298+G299</f>
        <v>250</v>
      </c>
      <c r="H297" s="8">
        <f>H298+H299</f>
        <v>93.1</v>
      </c>
    </row>
    <row r="298" spans="1:8" ht="32.25" customHeight="1" outlineLevel="1">
      <c r="A298" s="20" t="s">
        <v>509</v>
      </c>
      <c r="B298" s="14" t="s">
        <v>273</v>
      </c>
      <c r="C298" s="7" t="s">
        <v>208</v>
      </c>
      <c r="D298" s="7" t="s">
        <v>195</v>
      </c>
      <c r="E298" s="5">
        <v>5054602</v>
      </c>
      <c r="F298" s="7" t="s">
        <v>508</v>
      </c>
      <c r="G298" s="8">
        <v>248</v>
      </c>
      <c r="H298" s="8">
        <f>92.6</f>
        <v>92.6</v>
      </c>
    </row>
    <row r="299" spans="1:8" ht="31.5" customHeight="1" outlineLevel="1">
      <c r="A299" s="20" t="s">
        <v>506</v>
      </c>
      <c r="B299" s="14" t="s">
        <v>273</v>
      </c>
      <c r="C299" s="7" t="s">
        <v>208</v>
      </c>
      <c r="D299" s="7" t="s">
        <v>195</v>
      </c>
      <c r="E299" s="5">
        <v>5054602</v>
      </c>
      <c r="F299" s="7" t="s">
        <v>505</v>
      </c>
      <c r="G299" s="8">
        <v>2</v>
      </c>
      <c r="H299" s="8">
        <f>0.5</f>
        <v>0.5</v>
      </c>
    </row>
    <row r="300" spans="1:8" ht="46.5" customHeight="1" outlineLevel="1">
      <c r="A300" s="21" t="s">
        <v>91</v>
      </c>
      <c r="B300" s="14" t="s">
        <v>273</v>
      </c>
      <c r="C300" s="7" t="s">
        <v>208</v>
      </c>
      <c r="D300" s="7" t="s">
        <v>195</v>
      </c>
      <c r="E300" s="5">
        <v>5054800</v>
      </c>
      <c r="F300" s="5"/>
      <c r="G300" s="8">
        <f>G301+G302</f>
        <v>9300</v>
      </c>
      <c r="H300" s="8">
        <f>H301+H302</f>
        <v>3032.3</v>
      </c>
    </row>
    <row r="301" spans="1:8" ht="30.75" customHeight="1" outlineLevel="1">
      <c r="A301" s="20" t="s">
        <v>509</v>
      </c>
      <c r="B301" s="14" t="s">
        <v>273</v>
      </c>
      <c r="C301" s="7" t="s">
        <v>208</v>
      </c>
      <c r="D301" s="7" t="s">
        <v>195</v>
      </c>
      <c r="E301" s="5">
        <v>5054800</v>
      </c>
      <c r="F301" s="7" t="s">
        <v>508</v>
      </c>
      <c r="G301" s="8">
        <v>9200</v>
      </c>
      <c r="H301" s="8">
        <f>3000.4</f>
        <v>3000.4</v>
      </c>
    </row>
    <row r="302" spans="1:8" ht="32.25" customHeight="1" outlineLevel="1">
      <c r="A302" s="20" t="s">
        <v>506</v>
      </c>
      <c r="B302" s="14" t="s">
        <v>273</v>
      </c>
      <c r="C302" s="7" t="s">
        <v>208</v>
      </c>
      <c r="D302" s="7" t="s">
        <v>195</v>
      </c>
      <c r="E302" s="5">
        <v>5054800</v>
      </c>
      <c r="F302" s="7" t="s">
        <v>505</v>
      </c>
      <c r="G302" s="8">
        <v>100</v>
      </c>
      <c r="H302" s="8">
        <f>31.9</f>
        <v>31.9</v>
      </c>
    </row>
    <row r="303" spans="1:8" ht="30" customHeight="1" outlineLevel="1">
      <c r="A303" s="20" t="s">
        <v>92</v>
      </c>
      <c r="B303" s="14" t="s">
        <v>273</v>
      </c>
      <c r="C303" s="7" t="s">
        <v>208</v>
      </c>
      <c r="D303" s="7" t="s">
        <v>195</v>
      </c>
      <c r="E303" s="32">
        <v>5058600</v>
      </c>
      <c r="F303" s="32"/>
      <c r="G303" s="8">
        <f>G304+G307+G309+G311+G314</f>
        <v>3835</v>
      </c>
      <c r="H303" s="8">
        <f>H304+H307+H309+H311+H314</f>
        <v>1314.8999999999999</v>
      </c>
    </row>
    <row r="304" spans="1:8" ht="31.5" customHeight="1" outlineLevel="1">
      <c r="A304" s="20" t="s">
        <v>281</v>
      </c>
      <c r="B304" s="14" t="s">
        <v>273</v>
      </c>
      <c r="C304" s="7" t="s">
        <v>208</v>
      </c>
      <c r="D304" s="7" t="s">
        <v>195</v>
      </c>
      <c r="E304" s="5">
        <v>5058601</v>
      </c>
      <c r="F304" s="7"/>
      <c r="G304" s="8">
        <f>G305+G306</f>
        <v>200</v>
      </c>
      <c r="H304" s="8">
        <f>H305+H306</f>
        <v>72.4</v>
      </c>
    </row>
    <row r="305" spans="1:8" ht="34.5" customHeight="1" outlineLevel="1">
      <c r="A305" s="20" t="s">
        <v>509</v>
      </c>
      <c r="B305" s="14" t="s">
        <v>273</v>
      </c>
      <c r="C305" s="7" t="s">
        <v>208</v>
      </c>
      <c r="D305" s="7" t="s">
        <v>195</v>
      </c>
      <c r="E305" s="5">
        <v>5058601</v>
      </c>
      <c r="F305" s="7" t="s">
        <v>508</v>
      </c>
      <c r="G305" s="8">
        <v>199</v>
      </c>
      <c r="H305" s="8">
        <f>72</f>
        <v>72</v>
      </c>
    </row>
    <row r="306" spans="1:8" ht="30" customHeight="1" outlineLevel="1">
      <c r="A306" s="20" t="s">
        <v>506</v>
      </c>
      <c r="B306" s="14" t="s">
        <v>273</v>
      </c>
      <c r="C306" s="7" t="s">
        <v>208</v>
      </c>
      <c r="D306" s="7" t="s">
        <v>195</v>
      </c>
      <c r="E306" s="5">
        <v>5058601</v>
      </c>
      <c r="F306" s="7" t="s">
        <v>505</v>
      </c>
      <c r="G306" s="8">
        <v>1</v>
      </c>
      <c r="H306" s="8">
        <f>0.4</f>
        <v>0.4</v>
      </c>
    </row>
    <row r="307" spans="1:8" ht="46.5" customHeight="1" outlineLevel="1">
      <c r="A307" s="20" t="s">
        <v>288</v>
      </c>
      <c r="B307" s="14" t="s">
        <v>273</v>
      </c>
      <c r="C307" s="7" t="s">
        <v>208</v>
      </c>
      <c r="D307" s="7" t="s">
        <v>195</v>
      </c>
      <c r="E307" s="5">
        <v>5058602</v>
      </c>
      <c r="F307" s="7"/>
      <c r="G307" s="8">
        <f>G308</f>
        <v>65</v>
      </c>
      <c r="H307" s="8">
        <f>H308</f>
        <v>24.3</v>
      </c>
    </row>
    <row r="308" spans="1:8" ht="32.25" customHeight="1" outlineLevel="1">
      <c r="A308" s="20" t="s">
        <v>509</v>
      </c>
      <c r="B308" s="14" t="s">
        <v>273</v>
      </c>
      <c r="C308" s="7" t="s">
        <v>208</v>
      </c>
      <c r="D308" s="7" t="s">
        <v>195</v>
      </c>
      <c r="E308" s="5">
        <v>5058602</v>
      </c>
      <c r="F308" s="7" t="s">
        <v>508</v>
      </c>
      <c r="G308" s="8">
        <f>40+25</f>
        <v>65</v>
      </c>
      <c r="H308" s="8">
        <f>24.3</f>
        <v>24.3</v>
      </c>
    </row>
    <row r="309" spans="1:8" ht="46.5" customHeight="1" outlineLevel="1">
      <c r="A309" s="20" t="s">
        <v>289</v>
      </c>
      <c r="B309" s="14" t="s">
        <v>273</v>
      </c>
      <c r="C309" s="7" t="s">
        <v>208</v>
      </c>
      <c r="D309" s="7" t="s">
        <v>195</v>
      </c>
      <c r="E309" s="5">
        <v>5058603</v>
      </c>
      <c r="F309" s="7"/>
      <c r="G309" s="8">
        <f>G310</f>
        <v>2800</v>
      </c>
      <c r="H309" s="8">
        <f>H310</f>
        <v>1150.8</v>
      </c>
    </row>
    <row r="310" spans="1:8" ht="30" customHeight="1" outlineLevel="1">
      <c r="A310" s="20" t="s">
        <v>509</v>
      </c>
      <c r="B310" s="14" t="s">
        <v>273</v>
      </c>
      <c r="C310" s="7" t="s">
        <v>208</v>
      </c>
      <c r="D310" s="7" t="s">
        <v>195</v>
      </c>
      <c r="E310" s="5">
        <v>5058603</v>
      </c>
      <c r="F310" s="7" t="s">
        <v>508</v>
      </c>
      <c r="G310" s="8">
        <v>2800</v>
      </c>
      <c r="H310" s="8">
        <f>1150.8</f>
        <v>1150.8</v>
      </c>
    </row>
    <row r="311" spans="1:8" ht="45.75" customHeight="1" outlineLevel="1">
      <c r="A311" s="20" t="s">
        <v>290</v>
      </c>
      <c r="B311" s="14" t="s">
        <v>273</v>
      </c>
      <c r="C311" s="7" t="s">
        <v>208</v>
      </c>
      <c r="D311" s="7" t="s">
        <v>195</v>
      </c>
      <c r="E311" s="5">
        <v>5058604</v>
      </c>
      <c r="F311" s="7"/>
      <c r="G311" s="8">
        <f>G312+G313</f>
        <v>700</v>
      </c>
      <c r="H311" s="8">
        <f>H312+H313</f>
        <v>55.3</v>
      </c>
    </row>
    <row r="312" spans="1:8" ht="30.75" customHeight="1" outlineLevel="1">
      <c r="A312" s="20" t="s">
        <v>509</v>
      </c>
      <c r="B312" s="14" t="s">
        <v>273</v>
      </c>
      <c r="C312" s="7" t="s">
        <v>208</v>
      </c>
      <c r="D312" s="7" t="s">
        <v>195</v>
      </c>
      <c r="E312" s="5">
        <v>5058604</v>
      </c>
      <c r="F312" s="7" t="s">
        <v>508</v>
      </c>
      <c r="G312" s="8">
        <v>696</v>
      </c>
      <c r="H312" s="8">
        <f>55</f>
        <v>55</v>
      </c>
    </row>
    <row r="313" spans="1:8" ht="31.5" customHeight="1" outlineLevel="1">
      <c r="A313" s="20" t="s">
        <v>506</v>
      </c>
      <c r="B313" s="14" t="s">
        <v>273</v>
      </c>
      <c r="C313" s="7" t="s">
        <v>208</v>
      </c>
      <c r="D313" s="7" t="s">
        <v>195</v>
      </c>
      <c r="E313" s="5">
        <v>5058604</v>
      </c>
      <c r="F313" s="7" t="s">
        <v>505</v>
      </c>
      <c r="G313" s="8">
        <v>4</v>
      </c>
      <c r="H313" s="8">
        <f>0.3</f>
        <v>0.3</v>
      </c>
    </row>
    <row r="314" spans="1:8" ht="45.75" customHeight="1" outlineLevel="1">
      <c r="A314" s="40" t="s">
        <v>425</v>
      </c>
      <c r="B314" s="14" t="s">
        <v>273</v>
      </c>
      <c r="C314" s="7" t="s">
        <v>208</v>
      </c>
      <c r="D314" s="7" t="s">
        <v>195</v>
      </c>
      <c r="E314" s="5">
        <v>5058606</v>
      </c>
      <c r="F314" s="7"/>
      <c r="G314" s="8">
        <f>G315+G316</f>
        <v>70</v>
      </c>
      <c r="H314" s="8">
        <f>H315+H316</f>
        <v>12.1</v>
      </c>
    </row>
    <row r="315" spans="1:8" ht="32.25" customHeight="1" outlineLevel="1">
      <c r="A315" s="20" t="s">
        <v>509</v>
      </c>
      <c r="B315" s="14" t="s">
        <v>273</v>
      </c>
      <c r="C315" s="7" t="s">
        <v>208</v>
      </c>
      <c r="D315" s="7" t="s">
        <v>195</v>
      </c>
      <c r="E315" s="5">
        <v>5058606</v>
      </c>
      <c r="F315" s="7" t="s">
        <v>508</v>
      </c>
      <c r="G315" s="8">
        <v>69</v>
      </c>
      <c r="H315" s="8">
        <f>12</f>
        <v>12</v>
      </c>
    </row>
    <row r="316" spans="1:8" ht="33" customHeight="1" outlineLevel="1">
      <c r="A316" s="20" t="s">
        <v>506</v>
      </c>
      <c r="B316" s="14" t="s">
        <v>273</v>
      </c>
      <c r="C316" s="7" t="s">
        <v>208</v>
      </c>
      <c r="D316" s="7" t="s">
        <v>195</v>
      </c>
      <c r="E316" s="5">
        <v>5058606</v>
      </c>
      <c r="F316" s="7" t="s">
        <v>505</v>
      </c>
      <c r="G316" s="8">
        <v>1</v>
      </c>
      <c r="H316" s="8">
        <f>0.1</f>
        <v>0.1</v>
      </c>
    </row>
    <row r="317" spans="1:8" ht="30.75" customHeight="1" outlineLevel="1">
      <c r="A317" s="21" t="s">
        <v>93</v>
      </c>
      <c r="B317" s="14" t="s">
        <v>273</v>
      </c>
      <c r="C317" s="7" t="s">
        <v>208</v>
      </c>
      <c r="D317" s="7" t="s">
        <v>195</v>
      </c>
      <c r="E317" s="5">
        <v>5140000</v>
      </c>
      <c r="F317" s="7"/>
      <c r="G317" s="8">
        <f>G318</f>
        <v>3800</v>
      </c>
      <c r="H317" s="8">
        <f>H318</f>
        <v>2046.4</v>
      </c>
    </row>
    <row r="318" spans="1:8" ht="30" customHeight="1" outlineLevel="1">
      <c r="A318" s="20" t="s">
        <v>94</v>
      </c>
      <c r="B318" s="14" t="s">
        <v>273</v>
      </c>
      <c r="C318" s="7" t="s">
        <v>208</v>
      </c>
      <c r="D318" s="7" t="s">
        <v>195</v>
      </c>
      <c r="E318" s="32">
        <v>5140100</v>
      </c>
      <c r="F318" s="9"/>
      <c r="G318" s="8">
        <f>G319+G321+G323+G325</f>
        <v>3800</v>
      </c>
      <c r="H318" s="8">
        <f>H319+H321+H323+H325</f>
        <v>2046.4</v>
      </c>
    </row>
    <row r="319" spans="1:8" ht="15" customHeight="1" outlineLevel="1">
      <c r="A319" s="20" t="s">
        <v>124</v>
      </c>
      <c r="B319" s="14" t="s">
        <v>273</v>
      </c>
      <c r="C319" s="7" t="s">
        <v>208</v>
      </c>
      <c r="D319" s="7" t="s">
        <v>195</v>
      </c>
      <c r="E319" s="32">
        <v>5140101</v>
      </c>
      <c r="F319" s="9"/>
      <c r="G319" s="8">
        <f>G320</f>
        <v>1500</v>
      </c>
      <c r="H319" s="8">
        <f>H320</f>
        <v>1362</v>
      </c>
    </row>
    <row r="320" spans="1:8" ht="33.75" customHeight="1" outlineLevel="1">
      <c r="A320" s="20" t="s">
        <v>509</v>
      </c>
      <c r="B320" s="14" t="s">
        <v>273</v>
      </c>
      <c r="C320" s="7" t="s">
        <v>208</v>
      </c>
      <c r="D320" s="7" t="s">
        <v>195</v>
      </c>
      <c r="E320" s="5">
        <v>5140101</v>
      </c>
      <c r="F320" s="7" t="s">
        <v>508</v>
      </c>
      <c r="G320" s="8">
        <v>1500</v>
      </c>
      <c r="H320" s="8">
        <f>1362</f>
        <v>1362</v>
      </c>
    </row>
    <row r="321" spans="1:8" ht="27.75" customHeight="1" outlineLevel="1">
      <c r="A321" s="20" t="s">
        <v>353</v>
      </c>
      <c r="B321" s="14" t="s">
        <v>273</v>
      </c>
      <c r="C321" s="7" t="s">
        <v>208</v>
      </c>
      <c r="D321" s="7" t="s">
        <v>195</v>
      </c>
      <c r="E321" s="5">
        <v>5140102</v>
      </c>
      <c r="F321" s="9"/>
      <c r="G321" s="8">
        <f>G322</f>
        <v>150</v>
      </c>
      <c r="H321" s="8">
        <f>H322</f>
        <v>25.8</v>
      </c>
    </row>
    <row r="322" spans="1:8" ht="30" customHeight="1" outlineLevel="1">
      <c r="A322" s="15" t="s">
        <v>467</v>
      </c>
      <c r="B322" s="14" t="s">
        <v>273</v>
      </c>
      <c r="C322" s="7" t="s">
        <v>208</v>
      </c>
      <c r="D322" s="7" t="s">
        <v>195</v>
      </c>
      <c r="E322" s="5">
        <v>5140102</v>
      </c>
      <c r="F322" s="7" t="s">
        <v>466</v>
      </c>
      <c r="G322" s="8">
        <v>150</v>
      </c>
      <c r="H322" s="8">
        <f>25.8</f>
        <v>25.8</v>
      </c>
    </row>
    <row r="323" spans="1:8" ht="89.25" customHeight="1" outlineLevel="1">
      <c r="A323" s="20" t="s">
        <v>405</v>
      </c>
      <c r="B323" s="14" t="s">
        <v>273</v>
      </c>
      <c r="C323" s="7" t="s">
        <v>208</v>
      </c>
      <c r="D323" s="7" t="s">
        <v>195</v>
      </c>
      <c r="E323" s="5">
        <v>5140103</v>
      </c>
      <c r="F323" s="7"/>
      <c r="G323" s="8">
        <f>G324</f>
        <v>150</v>
      </c>
      <c r="H323" s="8">
        <f>H324</f>
        <v>0</v>
      </c>
    </row>
    <row r="324" spans="1:8" ht="29.25" customHeight="1" outlineLevel="1">
      <c r="A324" s="15" t="s">
        <v>482</v>
      </c>
      <c r="B324" s="14" t="s">
        <v>273</v>
      </c>
      <c r="C324" s="7" t="s">
        <v>208</v>
      </c>
      <c r="D324" s="9" t="s">
        <v>195</v>
      </c>
      <c r="E324" s="5">
        <v>5140103</v>
      </c>
      <c r="F324" s="7" t="s">
        <v>481</v>
      </c>
      <c r="G324" s="8">
        <v>150</v>
      </c>
      <c r="H324" s="8">
        <v>0</v>
      </c>
    </row>
    <row r="325" spans="1:8" ht="59.25" customHeight="1" outlineLevel="1">
      <c r="A325" s="20" t="s">
        <v>407</v>
      </c>
      <c r="B325" s="14" t="s">
        <v>273</v>
      </c>
      <c r="C325" s="7" t="s">
        <v>208</v>
      </c>
      <c r="D325" s="7" t="s">
        <v>195</v>
      </c>
      <c r="E325" s="5">
        <v>5140104</v>
      </c>
      <c r="F325" s="7"/>
      <c r="G325" s="8">
        <f>G326</f>
        <v>2000</v>
      </c>
      <c r="H325" s="8">
        <f>H326</f>
        <v>658.6</v>
      </c>
    </row>
    <row r="326" spans="1:8" ht="30.75" customHeight="1" outlineLevel="1">
      <c r="A326" s="15" t="s">
        <v>482</v>
      </c>
      <c r="B326" s="14" t="s">
        <v>273</v>
      </c>
      <c r="C326" s="7" t="s">
        <v>208</v>
      </c>
      <c r="D326" s="7" t="s">
        <v>195</v>
      </c>
      <c r="E326" s="5">
        <v>5140104</v>
      </c>
      <c r="F326" s="7" t="s">
        <v>481</v>
      </c>
      <c r="G326" s="8">
        <v>2000</v>
      </c>
      <c r="H326" s="8">
        <f>658.6</f>
        <v>658.6</v>
      </c>
    </row>
    <row r="327" spans="1:8" ht="30" customHeight="1" outlineLevel="1">
      <c r="A327" s="20" t="s">
        <v>441</v>
      </c>
      <c r="B327" s="14" t="s">
        <v>273</v>
      </c>
      <c r="C327" s="7" t="s">
        <v>208</v>
      </c>
      <c r="D327" s="7" t="s">
        <v>195</v>
      </c>
      <c r="E327" s="5">
        <v>5221700</v>
      </c>
      <c r="F327" s="7"/>
      <c r="G327" s="8">
        <f>G328</f>
        <v>15382.399999999998</v>
      </c>
      <c r="H327" s="8">
        <f>H328</f>
        <v>11068.599999999999</v>
      </c>
    </row>
    <row r="328" spans="1:8" ht="27.75" customHeight="1" outlineLevel="1">
      <c r="A328" s="15" t="s">
        <v>482</v>
      </c>
      <c r="B328" s="14" t="s">
        <v>273</v>
      </c>
      <c r="C328" s="7" t="s">
        <v>208</v>
      </c>
      <c r="D328" s="7" t="s">
        <v>195</v>
      </c>
      <c r="E328" s="5">
        <v>5221700</v>
      </c>
      <c r="F328" s="7" t="s">
        <v>481</v>
      </c>
      <c r="G328" s="8">
        <f>G329+G331</f>
        <v>15382.399999999998</v>
      </c>
      <c r="H328" s="8">
        <f>H329+H331</f>
        <v>11068.599999999999</v>
      </c>
    </row>
    <row r="329" spans="1:8" ht="107.25" customHeight="1" outlineLevel="1">
      <c r="A329" s="20" t="s">
        <v>532</v>
      </c>
      <c r="B329" s="14" t="s">
        <v>273</v>
      </c>
      <c r="C329" s="7" t="s">
        <v>208</v>
      </c>
      <c r="D329" s="7" t="s">
        <v>195</v>
      </c>
      <c r="E329" s="5">
        <v>5221702</v>
      </c>
      <c r="F329" s="7"/>
      <c r="G329" s="8">
        <f>G330</f>
        <v>13273.199999999999</v>
      </c>
      <c r="H329" s="8">
        <f>H330</f>
        <v>8959.4</v>
      </c>
    </row>
    <row r="330" spans="1:8" ht="30" customHeight="1" outlineLevel="1">
      <c r="A330" s="15" t="s">
        <v>482</v>
      </c>
      <c r="B330" s="14" t="s">
        <v>273</v>
      </c>
      <c r="C330" s="7" t="s">
        <v>208</v>
      </c>
      <c r="D330" s="7" t="s">
        <v>195</v>
      </c>
      <c r="E330" s="5">
        <v>5221702</v>
      </c>
      <c r="F330" s="7" t="s">
        <v>481</v>
      </c>
      <c r="G330" s="8">
        <f>12457.9+815.3</f>
        <v>13273.199999999999</v>
      </c>
      <c r="H330" s="8">
        <f>8959.4</f>
        <v>8959.4</v>
      </c>
    </row>
    <row r="331" spans="1:8" ht="120.75" customHeight="1" outlineLevel="1">
      <c r="A331" s="23" t="s">
        <v>382</v>
      </c>
      <c r="B331" s="14" t="s">
        <v>273</v>
      </c>
      <c r="C331" s="7" t="s">
        <v>208</v>
      </c>
      <c r="D331" s="7" t="s">
        <v>195</v>
      </c>
      <c r="E331" s="5">
        <v>5221703</v>
      </c>
      <c r="F331" s="7"/>
      <c r="G331" s="8">
        <f>G332</f>
        <v>2109.2</v>
      </c>
      <c r="H331" s="8">
        <f>H332</f>
        <v>2109.2</v>
      </c>
    </row>
    <row r="332" spans="1:8" ht="29.25" customHeight="1" outlineLevel="1">
      <c r="A332" s="15" t="s">
        <v>482</v>
      </c>
      <c r="B332" s="14" t="s">
        <v>273</v>
      </c>
      <c r="C332" s="7" t="s">
        <v>208</v>
      </c>
      <c r="D332" s="7" t="s">
        <v>195</v>
      </c>
      <c r="E332" s="5">
        <v>5221703</v>
      </c>
      <c r="F332" s="7" t="s">
        <v>481</v>
      </c>
      <c r="G332" s="8">
        <v>2109.2</v>
      </c>
      <c r="H332" s="8">
        <v>2109.2</v>
      </c>
    </row>
    <row r="333" spans="1:8" ht="78" customHeight="1" hidden="1" outlineLevel="2">
      <c r="A333" s="20" t="s">
        <v>309</v>
      </c>
      <c r="B333" s="14" t="s">
        <v>273</v>
      </c>
      <c r="C333" s="7" t="s">
        <v>208</v>
      </c>
      <c r="D333" s="7" t="s">
        <v>195</v>
      </c>
      <c r="E333" s="5">
        <v>5223400</v>
      </c>
      <c r="F333" s="7"/>
      <c r="G333" s="8">
        <f>G334</f>
        <v>0</v>
      </c>
      <c r="H333" s="8">
        <f>H334</f>
        <v>0</v>
      </c>
    </row>
    <row r="334" spans="1:8" ht="21.75" customHeight="1" hidden="1" outlineLevel="2">
      <c r="A334" s="20" t="s">
        <v>249</v>
      </c>
      <c r="B334" s="14" t="s">
        <v>273</v>
      </c>
      <c r="C334" s="7" t="s">
        <v>208</v>
      </c>
      <c r="D334" s="7" t="s">
        <v>195</v>
      </c>
      <c r="E334" s="5">
        <v>5223400</v>
      </c>
      <c r="F334" s="7" t="s">
        <v>90</v>
      </c>
      <c r="G334" s="8">
        <v>0</v>
      </c>
      <c r="H334" s="8">
        <v>0</v>
      </c>
    </row>
    <row r="335" spans="1:8" ht="30.75" customHeight="1" outlineLevel="1" collapsed="1">
      <c r="A335" s="15" t="s">
        <v>206</v>
      </c>
      <c r="B335" s="14" t="s">
        <v>273</v>
      </c>
      <c r="C335" s="7" t="s">
        <v>208</v>
      </c>
      <c r="D335" s="7" t="s">
        <v>195</v>
      </c>
      <c r="E335" s="5">
        <v>7950000</v>
      </c>
      <c r="F335" s="7"/>
      <c r="G335" s="8">
        <f>G336</f>
        <v>500</v>
      </c>
      <c r="H335" s="8">
        <f>H336</f>
        <v>0</v>
      </c>
    </row>
    <row r="336" spans="1:8" ht="61.5" customHeight="1" outlineLevel="1">
      <c r="A336" s="21" t="s">
        <v>403</v>
      </c>
      <c r="B336" s="14" t="s">
        <v>273</v>
      </c>
      <c r="C336" s="7" t="s">
        <v>208</v>
      </c>
      <c r="D336" s="7" t="s">
        <v>195</v>
      </c>
      <c r="E336" s="5">
        <v>7950009</v>
      </c>
      <c r="F336" s="7"/>
      <c r="G336" s="8">
        <f>G337</f>
        <v>500</v>
      </c>
      <c r="H336" s="8">
        <f>H337</f>
        <v>0</v>
      </c>
    </row>
    <row r="337" spans="1:8" ht="27.75" customHeight="1" outlineLevel="1">
      <c r="A337" s="15" t="s">
        <v>482</v>
      </c>
      <c r="B337" s="14" t="s">
        <v>273</v>
      </c>
      <c r="C337" s="7" t="s">
        <v>208</v>
      </c>
      <c r="D337" s="7" t="s">
        <v>195</v>
      </c>
      <c r="E337" s="5">
        <v>7950009</v>
      </c>
      <c r="F337" s="7" t="s">
        <v>481</v>
      </c>
      <c r="G337" s="8">
        <v>500</v>
      </c>
      <c r="H337" s="8">
        <v>0</v>
      </c>
    </row>
    <row r="338" spans="1:8" ht="16.5" customHeight="1" outlineLevel="1">
      <c r="A338" s="17" t="s">
        <v>7</v>
      </c>
      <c r="B338" s="30" t="s">
        <v>273</v>
      </c>
      <c r="C338" s="6" t="s">
        <v>198</v>
      </c>
      <c r="D338" s="6" t="s">
        <v>194</v>
      </c>
      <c r="E338" s="6"/>
      <c r="F338" s="6"/>
      <c r="G338" s="4">
        <f>G339</f>
        <v>3600</v>
      </c>
      <c r="H338" s="4">
        <f>H339</f>
        <v>1411.6</v>
      </c>
    </row>
    <row r="339" spans="1:8" ht="15" customHeight="1" outlineLevel="1">
      <c r="A339" s="18" t="s">
        <v>138</v>
      </c>
      <c r="B339" s="14" t="s">
        <v>273</v>
      </c>
      <c r="C339" s="7" t="s">
        <v>198</v>
      </c>
      <c r="D339" s="7" t="s">
        <v>214</v>
      </c>
      <c r="E339" s="7"/>
      <c r="F339" s="7"/>
      <c r="G339" s="8">
        <f>G340+G343</f>
        <v>3600</v>
      </c>
      <c r="H339" s="8">
        <f>H340+H343</f>
        <v>1411.6</v>
      </c>
    </row>
    <row r="340" spans="1:8" ht="48.75" customHeight="1" hidden="1" outlineLevel="2">
      <c r="A340" s="15" t="s">
        <v>125</v>
      </c>
      <c r="B340" s="14" t="s">
        <v>273</v>
      </c>
      <c r="C340" s="7" t="s">
        <v>198</v>
      </c>
      <c r="D340" s="7" t="s">
        <v>214</v>
      </c>
      <c r="E340" s="7" t="s">
        <v>49</v>
      </c>
      <c r="F340" s="7"/>
      <c r="G340" s="8">
        <f>G341</f>
        <v>0</v>
      </c>
      <c r="H340" s="8">
        <f>H341</f>
        <v>0</v>
      </c>
    </row>
    <row r="341" spans="1:8" ht="60.75" customHeight="1" hidden="1" outlineLevel="2">
      <c r="A341" s="15" t="s">
        <v>59</v>
      </c>
      <c r="B341" s="14" t="s">
        <v>273</v>
      </c>
      <c r="C341" s="7" t="s">
        <v>198</v>
      </c>
      <c r="D341" s="7" t="s">
        <v>214</v>
      </c>
      <c r="E341" s="7" t="s">
        <v>31</v>
      </c>
      <c r="F341" s="7"/>
      <c r="G341" s="8">
        <f>G342</f>
        <v>0</v>
      </c>
      <c r="H341" s="8">
        <f>H342</f>
        <v>0</v>
      </c>
    </row>
    <row r="342" spans="1:8" ht="18" customHeight="1" hidden="1" outlineLevel="2">
      <c r="A342" s="15" t="s">
        <v>53</v>
      </c>
      <c r="B342" s="14" t="s">
        <v>273</v>
      </c>
      <c r="C342" s="7" t="s">
        <v>198</v>
      </c>
      <c r="D342" s="7" t="s">
        <v>214</v>
      </c>
      <c r="E342" s="7" t="s">
        <v>31</v>
      </c>
      <c r="F342" s="7" t="s">
        <v>32</v>
      </c>
      <c r="G342" s="8">
        <v>0</v>
      </c>
      <c r="H342" s="8">
        <v>0</v>
      </c>
    </row>
    <row r="343" spans="1:8" ht="30.75" customHeight="1" outlineLevel="1" collapsed="1">
      <c r="A343" s="15" t="s">
        <v>86</v>
      </c>
      <c r="B343" s="14" t="s">
        <v>273</v>
      </c>
      <c r="C343" s="7" t="s">
        <v>198</v>
      </c>
      <c r="D343" s="7" t="s">
        <v>214</v>
      </c>
      <c r="E343" s="7" t="s">
        <v>87</v>
      </c>
      <c r="F343" s="7"/>
      <c r="G343" s="8">
        <f>G344</f>
        <v>3600</v>
      </c>
      <c r="H343" s="8">
        <f>H344</f>
        <v>1411.6</v>
      </c>
    </row>
    <row r="344" spans="1:8" ht="30" customHeight="1" outlineLevel="1">
      <c r="A344" s="15" t="s">
        <v>89</v>
      </c>
      <c r="B344" s="14" t="s">
        <v>273</v>
      </c>
      <c r="C344" s="7" t="s">
        <v>198</v>
      </c>
      <c r="D344" s="7" t="s">
        <v>214</v>
      </c>
      <c r="E344" s="7" t="s">
        <v>88</v>
      </c>
      <c r="F344" s="7"/>
      <c r="G344" s="8">
        <f>G345+G346</f>
        <v>3600</v>
      </c>
      <c r="H344" s="8">
        <f>H345+H346</f>
        <v>1411.6</v>
      </c>
    </row>
    <row r="345" spans="1:8" ht="31.5" customHeight="1" outlineLevel="1">
      <c r="A345" s="15" t="s">
        <v>467</v>
      </c>
      <c r="B345" s="14" t="s">
        <v>273</v>
      </c>
      <c r="C345" s="7" t="s">
        <v>198</v>
      </c>
      <c r="D345" s="7" t="s">
        <v>214</v>
      </c>
      <c r="E345" s="7" t="s">
        <v>88</v>
      </c>
      <c r="F345" s="7" t="s">
        <v>466</v>
      </c>
      <c r="G345" s="8">
        <f>2900+100</f>
        <v>3000</v>
      </c>
      <c r="H345" s="8">
        <f>1176.1</f>
        <v>1176.1</v>
      </c>
    </row>
    <row r="346" spans="1:8" ht="46.5" customHeight="1" outlineLevel="1">
      <c r="A346" s="49" t="s">
        <v>520</v>
      </c>
      <c r="B346" s="14" t="s">
        <v>273</v>
      </c>
      <c r="C346" s="7" t="s">
        <v>198</v>
      </c>
      <c r="D346" s="7" t="s">
        <v>214</v>
      </c>
      <c r="E346" s="7" t="s">
        <v>88</v>
      </c>
      <c r="F346" s="7" t="s">
        <v>479</v>
      </c>
      <c r="G346" s="8">
        <v>600</v>
      </c>
      <c r="H346" s="8">
        <f>235.5</f>
        <v>235.5</v>
      </c>
    </row>
    <row r="347" spans="1:8" ht="15.75" customHeight="1" outlineLevel="1">
      <c r="A347" s="33" t="s">
        <v>134</v>
      </c>
      <c r="B347" s="30" t="s">
        <v>273</v>
      </c>
      <c r="C347" s="3">
        <v>12</v>
      </c>
      <c r="D347" s="6" t="s">
        <v>194</v>
      </c>
      <c r="E347" s="3"/>
      <c r="F347" s="6"/>
      <c r="G347" s="4">
        <f>G348+G352</f>
        <v>1360</v>
      </c>
      <c r="H347" s="4">
        <f>H348+H352</f>
        <v>728.1</v>
      </c>
    </row>
    <row r="348" spans="1:8" ht="15" customHeight="1" outlineLevel="1">
      <c r="A348" s="18" t="s">
        <v>139</v>
      </c>
      <c r="B348" s="14" t="s">
        <v>273</v>
      </c>
      <c r="C348" s="5">
        <v>12</v>
      </c>
      <c r="D348" s="7" t="s">
        <v>193</v>
      </c>
      <c r="E348" s="7"/>
      <c r="F348" s="7"/>
      <c r="G348" s="8">
        <f>G351</f>
        <v>660</v>
      </c>
      <c r="H348" s="8">
        <f>H351</f>
        <v>238.4</v>
      </c>
    </row>
    <row r="349" spans="1:8" ht="28.5" customHeight="1" outlineLevel="1">
      <c r="A349" s="15" t="s">
        <v>433</v>
      </c>
      <c r="B349" s="14" t="s">
        <v>273</v>
      </c>
      <c r="C349" s="5">
        <v>12</v>
      </c>
      <c r="D349" s="7" t="s">
        <v>193</v>
      </c>
      <c r="E349" s="7" t="s">
        <v>98</v>
      </c>
      <c r="F349" s="7"/>
      <c r="G349" s="8">
        <f>G350</f>
        <v>660</v>
      </c>
      <c r="H349" s="8">
        <f>H350</f>
        <v>238.4</v>
      </c>
    </row>
    <row r="350" spans="1:8" ht="30" customHeight="1" outlineLevel="1">
      <c r="A350" s="15" t="s">
        <v>176</v>
      </c>
      <c r="B350" s="14" t="s">
        <v>273</v>
      </c>
      <c r="C350" s="5">
        <v>12</v>
      </c>
      <c r="D350" s="7" t="s">
        <v>193</v>
      </c>
      <c r="E350" s="7" t="s">
        <v>177</v>
      </c>
      <c r="F350" s="7"/>
      <c r="G350" s="8">
        <f>G351</f>
        <v>660</v>
      </c>
      <c r="H350" s="8">
        <f>H351</f>
        <v>238.4</v>
      </c>
    </row>
    <row r="351" spans="1:8" ht="29.25" customHeight="1" outlineLevel="1">
      <c r="A351" s="15" t="s">
        <v>467</v>
      </c>
      <c r="B351" s="14" t="s">
        <v>273</v>
      </c>
      <c r="C351" s="5">
        <v>12</v>
      </c>
      <c r="D351" s="7" t="s">
        <v>193</v>
      </c>
      <c r="E351" s="7" t="s">
        <v>177</v>
      </c>
      <c r="F351" s="7" t="s">
        <v>466</v>
      </c>
      <c r="G351" s="8">
        <v>660</v>
      </c>
      <c r="H351" s="8">
        <f>238.4</f>
        <v>238.4</v>
      </c>
    </row>
    <row r="352" spans="1:8" ht="15" customHeight="1" outlineLevel="1">
      <c r="A352" s="15" t="s">
        <v>140</v>
      </c>
      <c r="B352" s="14" t="s">
        <v>273</v>
      </c>
      <c r="C352" s="5">
        <v>12</v>
      </c>
      <c r="D352" s="7" t="s">
        <v>214</v>
      </c>
      <c r="E352" s="7"/>
      <c r="F352" s="7"/>
      <c r="G352" s="8">
        <f>G353</f>
        <v>700</v>
      </c>
      <c r="H352" s="8">
        <f>H353</f>
        <v>489.7</v>
      </c>
    </row>
    <row r="353" spans="1:8" ht="60" customHeight="1" outlineLevel="1">
      <c r="A353" s="15" t="s">
        <v>510</v>
      </c>
      <c r="B353" s="14" t="s">
        <v>273</v>
      </c>
      <c r="C353" s="5">
        <v>12</v>
      </c>
      <c r="D353" s="7" t="s">
        <v>214</v>
      </c>
      <c r="E353" s="7" t="s">
        <v>110</v>
      </c>
      <c r="F353" s="7"/>
      <c r="G353" s="8">
        <f>G354</f>
        <v>700</v>
      </c>
      <c r="H353" s="8">
        <f>H354</f>
        <v>489.7</v>
      </c>
    </row>
    <row r="354" spans="1:8" ht="58.5" customHeight="1" outlineLevel="1">
      <c r="A354" s="15" t="s">
        <v>497</v>
      </c>
      <c r="B354" s="14" t="s">
        <v>273</v>
      </c>
      <c r="C354" s="5">
        <v>12</v>
      </c>
      <c r="D354" s="7" t="s">
        <v>214</v>
      </c>
      <c r="E354" s="7" t="s">
        <v>110</v>
      </c>
      <c r="F354" s="7" t="s">
        <v>496</v>
      </c>
      <c r="G354" s="8">
        <v>700</v>
      </c>
      <c r="H354" s="8">
        <f>489.7</f>
        <v>489.7</v>
      </c>
    </row>
    <row r="355" spans="1:8" ht="65.25" customHeight="1">
      <c r="A355" s="22" t="s">
        <v>515</v>
      </c>
      <c r="B355" s="13" t="s">
        <v>277</v>
      </c>
      <c r="C355" s="13"/>
      <c r="D355" s="13"/>
      <c r="E355" s="13"/>
      <c r="F355" s="13"/>
      <c r="G355" s="16">
        <f>G356+G377+G382+G386+G399+G403+G410</f>
        <v>50650.4</v>
      </c>
      <c r="H355" s="16">
        <f>H356+H377+H382+H386+H399+H403+H410</f>
        <v>16854.4</v>
      </c>
    </row>
    <row r="356" spans="1:8" ht="18.75" customHeight="1" outlineLevel="1">
      <c r="A356" s="17" t="s">
        <v>1</v>
      </c>
      <c r="B356" s="6" t="s">
        <v>277</v>
      </c>
      <c r="C356" s="6" t="s">
        <v>193</v>
      </c>
      <c r="D356" s="6" t="s">
        <v>194</v>
      </c>
      <c r="E356" s="6"/>
      <c r="F356" s="6"/>
      <c r="G356" s="4">
        <f>G357+G365+G372</f>
        <v>17961.9</v>
      </c>
      <c r="H356" s="4">
        <f>H357+H365+H372</f>
        <v>2582.7</v>
      </c>
    </row>
    <row r="357" spans="1:8" ht="82.5" customHeight="1" outlineLevel="1">
      <c r="A357" s="18" t="s">
        <v>202</v>
      </c>
      <c r="B357" s="14" t="s">
        <v>277</v>
      </c>
      <c r="C357" s="7" t="s">
        <v>193</v>
      </c>
      <c r="D357" s="7" t="s">
        <v>197</v>
      </c>
      <c r="E357" s="7"/>
      <c r="F357" s="7"/>
      <c r="G357" s="8">
        <f aca="true" t="shared" si="5" ref="G357:H359">G358</f>
        <v>5711.900000000001</v>
      </c>
      <c r="H357" s="8">
        <f t="shared" si="5"/>
        <v>2582.7</v>
      </c>
    </row>
    <row r="358" spans="1:8" ht="75" customHeight="1" outlineLevel="1">
      <c r="A358" s="15" t="s">
        <v>190</v>
      </c>
      <c r="B358" s="14" t="s">
        <v>277</v>
      </c>
      <c r="C358" s="7" t="s">
        <v>193</v>
      </c>
      <c r="D358" s="7" t="s">
        <v>197</v>
      </c>
      <c r="E358" s="7" t="s">
        <v>18</v>
      </c>
      <c r="F358" s="7"/>
      <c r="G358" s="8">
        <f t="shared" si="5"/>
        <v>5711.900000000001</v>
      </c>
      <c r="H358" s="8">
        <f t="shared" si="5"/>
        <v>2582.7</v>
      </c>
    </row>
    <row r="359" spans="1:8" ht="15" customHeight="1" outlineLevel="1">
      <c r="A359" s="15" t="s">
        <v>526</v>
      </c>
      <c r="B359" s="14" t="s">
        <v>277</v>
      </c>
      <c r="C359" s="7" t="s">
        <v>193</v>
      </c>
      <c r="D359" s="7" t="s">
        <v>197</v>
      </c>
      <c r="E359" s="7" t="s">
        <v>15</v>
      </c>
      <c r="F359" s="7"/>
      <c r="G359" s="8">
        <f t="shared" si="5"/>
        <v>5711.900000000001</v>
      </c>
      <c r="H359" s="8">
        <f t="shared" si="5"/>
        <v>2582.7</v>
      </c>
    </row>
    <row r="360" spans="1:8" ht="28.5" customHeight="1" outlineLevel="1">
      <c r="A360" s="15" t="s">
        <v>527</v>
      </c>
      <c r="B360" s="14" t="s">
        <v>277</v>
      </c>
      <c r="C360" s="7" t="s">
        <v>193</v>
      </c>
      <c r="D360" s="7" t="s">
        <v>197</v>
      </c>
      <c r="E360" s="7" t="s">
        <v>191</v>
      </c>
      <c r="F360" s="7"/>
      <c r="G360" s="8">
        <f>G361+G362+G363+G364</f>
        <v>5711.900000000001</v>
      </c>
      <c r="H360" s="8">
        <f>H361+H362+H363+H364</f>
        <v>2582.7</v>
      </c>
    </row>
    <row r="361" spans="1:8" ht="15" customHeight="1" outlineLevel="1">
      <c r="A361" s="15" t="s">
        <v>468</v>
      </c>
      <c r="B361" s="14" t="s">
        <v>277</v>
      </c>
      <c r="C361" s="7" t="s">
        <v>193</v>
      </c>
      <c r="D361" s="7" t="s">
        <v>197</v>
      </c>
      <c r="E361" s="7" t="s">
        <v>191</v>
      </c>
      <c r="F361" s="7" t="s">
        <v>470</v>
      </c>
      <c r="G361" s="8">
        <v>4874.2</v>
      </c>
      <c r="H361" s="8">
        <f>2249.5</f>
        <v>2249.5</v>
      </c>
    </row>
    <row r="362" spans="1:8" ht="45" customHeight="1" outlineLevel="1">
      <c r="A362" s="15" t="s">
        <v>484</v>
      </c>
      <c r="B362" s="14" t="s">
        <v>277</v>
      </c>
      <c r="C362" s="7" t="s">
        <v>193</v>
      </c>
      <c r="D362" s="7" t="s">
        <v>197</v>
      </c>
      <c r="E362" s="7" t="s">
        <v>191</v>
      </c>
      <c r="F362" s="7" t="s">
        <v>483</v>
      </c>
      <c r="G362" s="8">
        <v>702.1</v>
      </c>
      <c r="H362" s="8">
        <f>251</f>
        <v>251</v>
      </c>
    </row>
    <row r="363" spans="1:8" ht="28.5" customHeight="1" outlineLevel="1">
      <c r="A363" s="15" t="s">
        <v>467</v>
      </c>
      <c r="B363" s="14" t="s">
        <v>277</v>
      </c>
      <c r="C363" s="7" t="s">
        <v>193</v>
      </c>
      <c r="D363" s="7" t="s">
        <v>197</v>
      </c>
      <c r="E363" s="7" t="s">
        <v>191</v>
      </c>
      <c r="F363" s="7" t="s">
        <v>466</v>
      </c>
      <c r="G363" s="8">
        <v>134.5</v>
      </c>
      <c r="H363" s="8">
        <f>82.2</f>
        <v>82.2</v>
      </c>
    </row>
    <row r="364" spans="1:8" ht="28.5" customHeight="1" outlineLevel="1">
      <c r="A364" s="15" t="s">
        <v>473</v>
      </c>
      <c r="B364" s="14" t="s">
        <v>277</v>
      </c>
      <c r="C364" s="7" t="s">
        <v>193</v>
      </c>
      <c r="D364" s="7" t="s">
        <v>197</v>
      </c>
      <c r="E364" s="7" t="s">
        <v>191</v>
      </c>
      <c r="F364" s="7" t="s">
        <v>472</v>
      </c>
      <c r="G364" s="8">
        <v>1.1</v>
      </c>
      <c r="H364" s="8">
        <v>0</v>
      </c>
    </row>
    <row r="365" spans="1:8" ht="15" customHeight="1" outlineLevel="1">
      <c r="A365" s="18" t="s">
        <v>2</v>
      </c>
      <c r="B365" s="14" t="s">
        <v>277</v>
      </c>
      <c r="C365" s="7" t="s">
        <v>193</v>
      </c>
      <c r="D365" s="7" t="s">
        <v>198</v>
      </c>
      <c r="E365" s="7"/>
      <c r="F365" s="7"/>
      <c r="G365" s="8">
        <f>G366</f>
        <v>12000</v>
      </c>
      <c r="H365" s="8">
        <f>H366</f>
        <v>0</v>
      </c>
    </row>
    <row r="366" spans="1:8" ht="15" customHeight="1" outlineLevel="1">
      <c r="A366" s="18" t="s">
        <v>2</v>
      </c>
      <c r="B366" s="14" t="s">
        <v>277</v>
      </c>
      <c r="C366" s="7" t="s">
        <v>193</v>
      </c>
      <c r="D366" s="7" t="s">
        <v>198</v>
      </c>
      <c r="E366" s="7" t="s">
        <v>203</v>
      </c>
      <c r="F366" s="7"/>
      <c r="G366" s="8">
        <f>G367</f>
        <v>12000</v>
      </c>
      <c r="H366" s="8">
        <f>H367</f>
        <v>0</v>
      </c>
    </row>
    <row r="367" spans="1:8" ht="15" customHeight="1" outlineLevel="1">
      <c r="A367" s="15" t="s">
        <v>200</v>
      </c>
      <c r="B367" s="14" t="s">
        <v>277</v>
      </c>
      <c r="C367" s="7" t="s">
        <v>193</v>
      </c>
      <c r="D367" s="7" t="s">
        <v>198</v>
      </c>
      <c r="E367" s="7" t="s">
        <v>19</v>
      </c>
      <c r="F367" s="7"/>
      <c r="G367" s="8">
        <f>G368+G370</f>
        <v>12000</v>
      </c>
      <c r="H367" s="8">
        <f>H368+H370</f>
        <v>0</v>
      </c>
    </row>
    <row r="368" spans="1:8" ht="30" customHeight="1" outlineLevel="1">
      <c r="A368" s="15" t="s">
        <v>131</v>
      </c>
      <c r="B368" s="14" t="s">
        <v>277</v>
      </c>
      <c r="C368" s="7" t="s">
        <v>193</v>
      </c>
      <c r="D368" s="7" t="s">
        <v>198</v>
      </c>
      <c r="E368" s="7" t="s">
        <v>129</v>
      </c>
      <c r="F368" s="7"/>
      <c r="G368" s="8">
        <f>G369</f>
        <v>2000</v>
      </c>
      <c r="H368" s="8">
        <f>H369</f>
        <v>0</v>
      </c>
    </row>
    <row r="369" spans="1:8" ht="15" customHeight="1" outlineLevel="1">
      <c r="A369" s="15" t="s">
        <v>486</v>
      </c>
      <c r="B369" s="14" t="s">
        <v>277</v>
      </c>
      <c r="C369" s="7" t="s">
        <v>193</v>
      </c>
      <c r="D369" s="7" t="s">
        <v>198</v>
      </c>
      <c r="E369" s="7" t="s">
        <v>129</v>
      </c>
      <c r="F369" s="7" t="s">
        <v>485</v>
      </c>
      <c r="G369" s="8">
        <v>2000</v>
      </c>
      <c r="H369" s="8">
        <v>0</v>
      </c>
    </row>
    <row r="370" spans="1:8" ht="75.75" customHeight="1" outlineLevel="1">
      <c r="A370" s="15" t="s">
        <v>132</v>
      </c>
      <c r="B370" s="14" t="s">
        <v>277</v>
      </c>
      <c r="C370" s="7" t="s">
        <v>193</v>
      </c>
      <c r="D370" s="7" t="s">
        <v>198</v>
      </c>
      <c r="E370" s="7" t="s">
        <v>130</v>
      </c>
      <c r="F370" s="7"/>
      <c r="G370" s="8">
        <f>G371</f>
        <v>10000</v>
      </c>
      <c r="H370" s="8">
        <f>H371</f>
        <v>0</v>
      </c>
    </row>
    <row r="371" spans="1:8" ht="15" customHeight="1" outlineLevel="1">
      <c r="A371" s="15" t="s">
        <v>486</v>
      </c>
      <c r="B371" s="14" t="s">
        <v>277</v>
      </c>
      <c r="C371" s="7" t="s">
        <v>193</v>
      </c>
      <c r="D371" s="7" t="s">
        <v>198</v>
      </c>
      <c r="E371" s="7" t="s">
        <v>130</v>
      </c>
      <c r="F371" s="7" t="s">
        <v>485</v>
      </c>
      <c r="G371" s="8">
        <v>10000</v>
      </c>
      <c r="H371" s="8">
        <v>0</v>
      </c>
    </row>
    <row r="372" spans="1:8" ht="31.5" customHeight="1" outlineLevel="1">
      <c r="A372" s="18" t="s">
        <v>9</v>
      </c>
      <c r="B372" s="14" t="s">
        <v>277</v>
      </c>
      <c r="C372" s="7" t="s">
        <v>193</v>
      </c>
      <c r="D372" s="7" t="s">
        <v>199</v>
      </c>
      <c r="E372" s="7"/>
      <c r="F372" s="7"/>
      <c r="G372" s="8">
        <f aca="true" t="shared" si="6" ref="G372:H375">G373</f>
        <v>250</v>
      </c>
      <c r="H372" s="8">
        <f t="shared" si="6"/>
        <v>0</v>
      </c>
    </row>
    <row r="373" spans="1:8" ht="47.25" customHeight="1" outlineLevel="1">
      <c r="A373" s="15" t="s">
        <v>25</v>
      </c>
      <c r="B373" s="14" t="s">
        <v>277</v>
      </c>
      <c r="C373" s="7" t="s">
        <v>193</v>
      </c>
      <c r="D373" s="7" t="s">
        <v>199</v>
      </c>
      <c r="E373" s="7" t="s">
        <v>26</v>
      </c>
      <c r="F373" s="7"/>
      <c r="G373" s="8">
        <f t="shared" si="6"/>
        <v>250</v>
      </c>
      <c r="H373" s="8">
        <f t="shared" si="6"/>
        <v>0</v>
      </c>
    </row>
    <row r="374" spans="1:8" ht="28.5" customHeight="1" outlineLevel="1">
      <c r="A374" s="15" t="s">
        <v>40</v>
      </c>
      <c r="B374" s="14" t="s">
        <v>277</v>
      </c>
      <c r="C374" s="7" t="s">
        <v>193</v>
      </c>
      <c r="D374" s="7" t="s">
        <v>199</v>
      </c>
      <c r="E374" s="7" t="s">
        <v>27</v>
      </c>
      <c r="F374" s="7"/>
      <c r="G374" s="8">
        <f t="shared" si="6"/>
        <v>250</v>
      </c>
      <c r="H374" s="8">
        <f t="shared" si="6"/>
        <v>0</v>
      </c>
    </row>
    <row r="375" spans="1:8" ht="43.5" customHeight="1" outlineLevel="1">
      <c r="A375" s="15" t="s">
        <v>487</v>
      </c>
      <c r="B375" s="14" t="s">
        <v>277</v>
      </c>
      <c r="C375" s="7" t="s">
        <v>193</v>
      </c>
      <c r="D375" s="7" t="s">
        <v>199</v>
      </c>
      <c r="E375" s="7" t="s">
        <v>178</v>
      </c>
      <c r="F375" s="7"/>
      <c r="G375" s="8">
        <f t="shared" si="6"/>
        <v>250</v>
      </c>
      <c r="H375" s="8">
        <f t="shared" si="6"/>
        <v>0</v>
      </c>
    </row>
    <row r="376" spans="1:8" ht="135" customHeight="1" outlineLevel="1">
      <c r="A376" s="15" t="s">
        <v>476</v>
      </c>
      <c r="B376" s="14" t="s">
        <v>277</v>
      </c>
      <c r="C376" s="7" t="s">
        <v>193</v>
      </c>
      <c r="D376" s="7" t="s">
        <v>199</v>
      </c>
      <c r="E376" s="7" t="s">
        <v>178</v>
      </c>
      <c r="F376" s="7" t="s">
        <v>475</v>
      </c>
      <c r="G376" s="8">
        <v>250</v>
      </c>
      <c r="H376" s="8">
        <v>0</v>
      </c>
    </row>
    <row r="377" spans="1:8" ht="32.25" customHeight="1" outlineLevel="1">
      <c r="A377" s="22" t="s">
        <v>3</v>
      </c>
      <c r="B377" s="30" t="s">
        <v>277</v>
      </c>
      <c r="C377" s="6" t="s">
        <v>195</v>
      </c>
      <c r="D377" s="6" t="s">
        <v>194</v>
      </c>
      <c r="E377" s="6"/>
      <c r="F377" s="6"/>
      <c r="G377" s="4">
        <f aca="true" t="shared" si="7" ref="G377:H380">G378</f>
        <v>476</v>
      </c>
      <c r="H377" s="4">
        <f t="shared" si="7"/>
        <v>82</v>
      </c>
    </row>
    <row r="378" spans="1:8" ht="15" customHeight="1" outlineLevel="1">
      <c r="A378" s="18" t="s">
        <v>312</v>
      </c>
      <c r="B378" s="14" t="s">
        <v>277</v>
      </c>
      <c r="C378" s="7" t="s">
        <v>195</v>
      </c>
      <c r="D378" s="7" t="s">
        <v>208</v>
      </c>
      <c r="E378" s="7"/>
      <c r="F378" s="7"/>
      <c r="G378" s="8">
        <f t="shared" si="7"/>
        <v>476</v>
      </c>
      <c r="H378" s="8">
        <f t="shared" si="7"/>
        <v>82</v>
      </c>
    </row>
    <row r="379" spans="1:8" ht="30.75" customHeight="1" outlineLevel="1">
      <c r="A379" s="15" t="s">
        <v>310</v>
      </c>
      <c r="B379" s="14" t="s">
        <v>277</v>
      </c>
      <c r="C379" s="7" t="s">
        <v>195</v>
      </c>
      <c r="D379" s="7" t="s">
        <v>208</v>
      </c>
      <c r="E379" s="7" t="s">
        <v>33</v>
      </c>
      <c r="F379" s="7"/>
      <c r="G379" s="8">
        <f t="shared" si="7"/>
        <v>476</v>
      </c>
      <c r="H379" s="8">
        <f t="shared" si="7"/>
        <v>82</v>
      </c>
    </row>
    <row r="380" spans="1:8" ht="45" customHeight="1" outlineLevel="1">
      <c r="A380" s="15" t="s">
        <v>398</v>
      </c>
      <c r="B380" s="14" t="s">
        <v>277</v>
      </c>
      <c r="C380" s="7" t="s">
        <v>195</v>
      </c>
      <c r="D380" s="7" t="s">
        <v>208</v>
      </c>
      <c r="E380" s="7" t="s">
        <v>182</v>
      </c>
      <c r="F380" s="7"/>
      <c r="G380" s="8">
        <f t="shared" si="7"/>
        <v>476</v>
      </c>
      <c r="H380" s="8">
        <f t="shared" si="7"/>
        <v>82</v>
      </c>
    </row>
    <row r="381" spans="1:8" ht="28.5" customHeight="1" outlineLevel="1">
      <c r="A381" s="15" t="s">
        <v>489</v>
      </c>
      <c r="B381" s="14" t="s">
        <v>277</v>
      </c>
      <c r="C381" s="7" t="s">
        <v>195</v>
      </c>
      <c r="D381" s="7" t="s">
        <v>208</v>
      </c>
      <c r="E381" s="7" t="s">
        <v>182</v>
      </c>
      <c r="F381" s="7" t="s">
        <v>488</v>
      </c>
      <c r="G381" s="8">
        <f>576-100</f>
        <v>476</v>
      </c>
      <c r="H381" s="8">
        <f>82</f>
        <v>82</v>
      </c>
    </row>
    <row r="382" spans="1:8" ht="18.75" customHeight="1" outlineLevel="1">
      <c r="A382" s="19" t="s">
        <v>5</v>
      </c>
      <c r="B382" s="30" t="s">
        <v>277</v>
      </c>
      <c r="C382" s="6" t="s">
        <v>211</v>
      </c>
      <c r="D382" s="6" t="s">
        <v>194</v>
      </c>
      <c r="E382" s="7"/>
      <c r="F382" s="7"/>
      <c r="G382" s="4">
        <f aca="true" t="shared" si="8" ref="G382:H384">G383</f>
        <v>25</v>
      </c>
      <c r="H382" s="4">
        <f t="shared" si="8"/>
        <v>0</v>
      </c>
    </row>
    <row r="383" spans="1:8" ht="15" customHeight="1" outlineLevel="1">
      <c r="A383" s="15" t="s">
        <v>311</v>
      </c>
      <c r="B383" s="14" t="s">
        <v>277</v>
      </c>
      <c r="C383" s="7" t="s">
        <v>211</v>
      </c>
      <c r="D383" s="7" t="s">
        <v>214</v>
      </c>
      <c r="E383" s="7"/>
      <c r="F383" s="7"/>
      <c r="G383" s="8">
        <f t="shared" si="8"/>
        <v>25</v>
      </c>
      <c r="H383" s="8">
        <f t="shared" si="8"/>
        <v>0</v>
      </c>
    </row>
    <row r="384" spans="1:8" ht="60" customHeight="1" outlineLevel="1">
      <c r="A384" s="15" t="s">
        <v>218</v>
      </c>
      <c r="B384" s="14" t="s">
        <v>277</v>
      </c>
      <c r="C384" s="7" t="s">
        <v>211</v>
      </c>
      <c r="D384" s="7" t="s">
        <v>214</v>
      </c>
      <c r="E384" s="7" t="s">
        <v>118</v>
      </c>
      <c r="F384" s="7"/>
      <c r="G384" s="8">
        <f t="shared" si="8"/>
        <v>25</v>
      </c>
      <c r="H384" s="8">
        <f t="shared" si="8"/>
        <v>0</v>
      </c>
    </row>
    <row r="385" spans="1:8" ht="29.25" customHeight="1" outlineLevel="1">
      <c r="A385" s="15" t="s">
        <v>489</v>
      </c>
      <c r="B385" s="14" t="s">
        <v>277</v>
      </c>
      <c r="C385" s="7" t="s">
        <v>211</v>
      </c>
      <c r="D385" s="7" t="s">
        <v>214</v>
      </c>
      <c r="E385" s="7" t="s">
        <v>118</v>
      </c>
      <c r="F385" s="7" t="s">
        <v>488</v>
      </c>
      <c r="G385" s="8">
        <v>25</v>
      </c>
      <c r="H385" s="8">
        <v>0</v>
      </c>
    </row>
    <row r="386" spans="1:8" ht="18.75" customHeight="1" outlineLevel="1">
      <c r="A386" s="22" t="s">
        <v>6</v>
      </c>
      <c r="B386" s="30" t="s">
        <v>277</v>
      </c>
      <c r="C386" s="30" t="s">
        <v>222</v>
      </c>
      <c r="D386" s="30" t="s">
        <v>194</v>
      </c>
      <c r="E386" s="30"/>
      <c r="F386" s="30"/>
      <c r="G386" s="16">
        <f>G387+G393</f>
        <v>12935.1</v>
      </c>
      <c r="H386" s="16">
        <f>H387+H393</f>
        <v>5849.7</v>
      </c>
    </row>
    <row r="387" spans="1:8" ht="15" customHeight="1" outlineLevel="1">
      <c r="A387" s="18" t="s">
        <v>313</v>
      </c>
      <c r="B387" s="14" t="s">
        <v>277</v>
      </c>
      <c r="C387" s="7" t="s">
        <v>222</v>
      </c>
      <c r="D387" s="7" t="s">
        <v>214</v>
      </c>
      <c r="E387" s="7"/>
      <c r="F387" s="7"/>
      <c r="G387" s="8">
        <f aca="true" t="shared" si="9" ref="G387:H389">G388</f>
        <v>9110.1</v>
      </c>
      <c r="H387" s="8">
        <f t="shared" si="9"/>
        <v>4010.1</v>
      </c>
    </row>
    <row r="388" spans="1:8" ht="29.25" customHeight="1" outlineLevel="1">
      <c r="A388" s="15" t="s">
        <v>315</v>
      </c>
      <c r="B388" s="14" t="s">
        <v>277</v>
      </c>
      <c r="C388" s="7" t="s">
        <v>222</v>
      </c>
      <c r="D388" s="7" t="s">
        <v>214</v>
      </c>
      <c r="E388" s="7" t="s">
        <v>314</v>
      </c>
      <c r="F388" s="7"/>
      <c r="G388" s="8">
        <f t="shared" si="9"/>
        <v>9110.1</v>
      </c>
      <c r="H388" s="8">
        <f t="shared" si="9"/>
        <v>4010.1</v>
      </c>
    </row>
    <row r="389" spans="1:8" ht="28.5" customHeight="1" outlineLevel="1">
      <c r="A389" s="15" t="s">
        <v>20</v>
      </c>
      <c r="B389" s="14" t="s">
        <v>277</v>
      </c>
      <c r="C389" s="7" t="s">
        <v>222</v>
      </c>
      <c r="D389" s="7" t="s">
        <v>214</v>
      </c>
      <c r="E389" s="7" t="s">
        <v>316</v>
      </c>
      <c r="F389" s="7"/>
      <c r="G389" s="8">
        <f t="shared" si="9"/>
        <v>9110.1</v>
      </c>
      <c r="H389" s="8">
        <f t="shared" si="9"/>
        <v>4010.1</v>
      </c>
    </row>
    <row r="390" spans="1:8" ht="15" customHeight="1" outlineLevel="1">
      <c r="A390" s="15" t="s">
        <v>187</v>
      </c>
      <c r="B390" s="14" t="s">
        <v>277</v>
      </c>
      <c r="C390" s="7" t="s">
        <v>222</v>
      </c>
      <c r="D390" s="7" t="s">
        <v>214</v>
      </c>
      <c r="E390" s="7" t="s">
        <v>316</v>
      </c>
      <c r="F390" s="7" t="s">
        <v>490</v>
      </c>
      <c r="G390" s="8">
        <f>G391+G392</f>
        <v>9110.1</v>
      </c>
      <c r="H390" s="8">
        <f>H391+H392</f>
        <v>4010.1</v>
      </c>
    </row>
    <row r="391" spans="1:8" ht="60" customHeight="1" outlineLevel="1">
      <c r="A391" s="15" t="s">
        <v>492</v>
      </c>
      <c r="B391" s="14" t="s">
        <v>277</v>
      </c>
      <c r="C391" s="7" t="s">
        <v>222</v>
      </c>
      <c r="D391" s="7" t="s">
        <v>214</v>
      </c>
      <c r="E391" s="7" t="s">
        <v>440</v>
      </c>
      <c r="F391" s="7" t="s">
        <v>491</v>
      </c>
      <c r="G391" s="8">
        <v>8910.1</v>
      </c>
      <c r="H391" s="8">
        <f>4010.1</f>
        <v>4010.1</v>
      </c>
    </row>
    <row r="392" spans="1:8" ht="28.5" customHeight="1" outlineLevel="1">
      <c r="A392" s="15" t="s">
        <v>489</v>
      </c>
      <c r="B392" s="14" t="s">
        <v>277</v>
      </c>
      <c r="C392" s="7" t="s">
        <v>222</v>
      </c>
      <c r="D392" s="7" t="s">
        <v>214</v>
      </c>
      <c r="E392" s="7" t="s">
        <v>317</v>
      </c>
      <c r="F392" s="7" t="s">
        <v>488</v>
      </c>
      <c r="G392" s="8">
        <v>200</v>
      </c>
      <c r="H392" s="8">
        <v>0</v>
      </c>
    </row>
    <row r="393" spans="1:8" ht="29.25" customHeight="1" outlineLevel="1">
      <c r="A393" s="18" t="s">
        <v>318</v>
      </c>
      <c r="B393" s="14" t="s">
        <v>277</v>
      </c>
      <c r="C393" s="7" t="s">
        <v>222</v>
      </c>
      <c r="D393" s="7" t="s">
        <v>222</v>
      </c>
      <c r="E393" s="7"/>
      <c r="F393" s="7"/>
      <c r="G393" s="8">
        <f aca="true" t="shared" si="10" ref="G393:H395">G394</f>
        <v>3825</v>
      </c>
      <c r="H393" s="8">
        <f t="shared" si="10"/>
        <v>1839.6</v>
      </c>
    </row>
    <row r="394" spans="1:8" ht="27.75" customHeight="1" outlineLevel="1">
      <c r="A394" s="15" t="s">
        <v>319</v>
      </c>
      <c r="B394" s="14" t="s">
        <v>277</v>
      </c>
      <c r="C394" s="7" t="s">
        <v>222</v>
      </c>
      <c r="D394" s="7" t="s">
        <v>222</v>
      </c>
      <c r="E394" s="7" t="s">
        <v>72</v>
      </c>
      <c r="F394" s="7"/>
      <c r="G394" s="8">
        <f t="shared" si="10"/>
        <v>3825</v>
      </c>
      <c r="H394" s="8">
        <f t="shared" si="10"/>
        <v>1839.6</v>
      </c>
    </row>
    <row r="395" spans="1:8" ht="30.75" customHeight="1" outlineLevel="1">
      <c r="A395" s="15" t="s">
        <v>20</v>
      </c>
      <c r="B395" s="14" t="s">
        <v>277</v>
      </c>
      <c r="C395" s="7" t="s">
        <v>222</v>
      </c>
      <c r="D395" s="7" t="s">
        <v>222</v>
      </c>
      <c r="E395" s="7" t="s">
        <v>320</v>
      </c>
      <c r="F395" s="7"/>
      <c r="G395" s="8">
        <f t="shared" si="10"/>
        <v>3825</v>
      </c>
      <c r="H395" s="8">
        <f t="shared" si="10"/>
        <v>1839.6</v>
      </c>
    </row>
    <row r="396" spans="1:8" ht="15" customHeight="1" outlineLevel="1">
      <c r="A396" s="15" t="s">
        <v>187</v>
      </c>
      <c r="B396" s="14" t="s">
        <v>277</v>
      </c>
      <c r="C396" s="7" t="s">
        <v>222</v>
      </c>
      <c r="D396" s="7" t="s">
        <v>222</v>
      </c>
      <c r="E396" s="7" t="s">
        <v>320</v>
      </c>
      <c r="F396" s="7" t="s">
        <v>490</v>
      </c>
      <c r="G396" s="8">
        <f>G397+G398</f>
        <v>3825</v>
      </c>
      <c r="H396" s="8">
        <f>H397+H398</f>
        <v>1839.6</v>
      </c>
    </row>
    <row r="397" spans="1:8" ht="62.25" customHeight="1" outlineLevel="1">
      <c r="A397" s="15" t="s">
        <v>492</v>
      </c>
      <c r="B397" s="14" t="s">
        <v>277</v>
      </c>
      <c r="C397" s="7" t="s">
        <v>222</v>
      </c>
      <c r="D397" s="7" t="s">
        <v>222</v>
      </c>
      <c r="E397" s="7" t="s">
        <v>321</v>
      </c>
      <c r="F397" s="7" t="s">
        <v>491</v>
      </c>
      <c r="G397" s="8">
        <v>3575</v>
      </c>
      <c r="H397" s="8">
        <f>1773</f>
        <v>1773</v>
      </c>
    </row>
    <row r="398" spans="1:8" ht="30.75" customHeight="1" outlineLevel="1">
      <c r="A398" s="15" t="s">
        <v>489</v>
      </c>
      <c r="B398" s="14" t="s">
        <v>277</v>
      </c>
      <c r="C398" s="7" t="s">
        <v>222</v>
      </c>
      <c r="D398" s="7" t="s">
        <v>222</v>
      </c>
      <c r="E398" s="7" t="s">
        <v>322</v>
      </c>
      <c r="F398" s="7" t="s">
        <v>488</v>
      </c>
      <c r="G398" s="8">
        <v>250</v>
      </c>
      <c r="H398" s="8">
        <f>66.6</f>
        <v>66.6</v>
      </c>
    </row>
    <row r="399" spans="1:8" ht="18.75" customHeight="1" outlineLevel="1">
      <c r="A399" s="17" t="s">
        <v>133</v>
      </c>
      <c r="B399" s="30" t="s">
        <v>277</v>
      </c>
      <c r="C399" s="6" t="s">
        <v>224</v>
      </c>
      <c r="D399" s="6" t="s">
        <v>194</v>
      </c>
      <c r="E399" s="7"/>
      <c r="F399" s="7"/>
      <c r="G399" s="4">
        <f aca="true" t="shared" si="11" ref="G399:H401">G400</f>
        <v>174</v>
      </c>
      <c r="H399" s="4">
        <f t="shared" si="11"/>
        <v>0</v>
      </c>
    </row>
    <row r="400" spans="1:8" ht="18.75" customHeight="1" outlineLevel="1">
      <c r="A400" s="18" t="s">
        <v>127</v>
      </c>
      <c r="B400" s="14" t="s">
        <v>277</v>
      </c>
      <c r="C400" s="7" t="s">
        <v>224</v>
      </c>
      <c r="D400" s="7" t="s">
        <v>193</v>
      </c>
      <c r="E400" s="7"/>
      <c r="F400" s="7"/>
      <c r="G400" s="8">
        <f t="shared" si="11"/>
        <v>174</v>
      </c>
      <c r="H400" s="8">
        <f t="shared" si="11"/>
        <v>0</v>
      </c>
    </row>
    <row r="401" spans="1:8" ht="44.25" customHeight="1" outlineLevel="1">
      <c r="A401" s="15" t="s">
        <v>414</v>
      </c>
      <c r="B401" s="14" t="s">
        <v>277</v>
      </c>
      <c r="C401" s="7" t="s">
        <v>224</v>
      </c>
      <c r="D401" s="7" t="s">
        <v>193</v>
      </c>
      <c r="E401" s="7" t="s">
        <v>338</v>
      </c>
      <c r="F401" s="7"/>
      <c r="G401" s="8">
        <f t="shared" si="11"/>
        <v>174</v>
      </c>
      <c r="H401" s="8">
        <f t="shared" si="11"/>
        <v>0</v>
      </c>
    </row>
    <row r="402" spans="1:8" ht="27.75" customHeight="1" outlineLevel="1">
      <c r="A402" s="15" t="s">
        <v>489</v>
      </c>
      <c r="B402" s="14" t="s">
        <v>277</v>
      </c>
      <c r="C402" s="7" t="s">
        <v>224</v>
      </c>
      <c r="D402" s="7" t="s">
        <v>193</v>
      </c>
      <c r="E402" s="7" t="s">
        <v>338</v>
      </c>
      <c r="F402" s="7" t="s">
        <v>488</v>
      </c>
      <c r="G402" s="8">
        <v>174</v>
      </c>
      <c r="H402" s="8">
        <v>0</v>
      </c>
    </row>
    <row r="403" spans="1:8" ht="18.75" customHeight="1" outlineLevel="1">
      <c r="A403" s="22" t="s">
        <v>7</v>
      </c>
      <c r="B403" s="30" t="s">
        <v>277</v>
      </c>
      <c r="C403" s="30" t="s">
        <v>198</v>
      </c>
      <c r="D403" s="30" t="s">
        <v>194</v>
      </c>
      <c r="E403" s="30"/>
      <c r="F403" s="30"/>
      <c r="G403" s="16">
        <f aca="true" t="shared" si="12" ref="G403:H406">G404</f>
        <v>18728.4</v>
      </c>
      <c r="H403" s="16">
        <f t="shared" si="12"/>
        <v>8340</v>
      </c>
    </row>
    <row r="404" spans="1:8" ht="15" customHeight="1" outlineLevel="1">
      <c r="A404" s="18" t="s">
        <v>323</v>
      </c>
      <c r="B404" s="14" t="s">
        <v>277</v>
      </c>
      <c r="C404" s="7" t="s">
        <v>198</v>
      </c>
      <c r="D404" s="7" t="s">
        <v>193</v>
      </c>
      <c r="E404" s="7"/>
      <c r="F404" s="7"/>
      <c r="G404" s="8">
        <f t="shared" si="12"/>
        <v>18728.4</v>
      </c>
      <c r="H404" s="8">
        <f t="shared" si="12"/>
        <v>8340</v>
      </c>
    </row>
    <row r="405" spans="1:8" ht="32.25" customHeight="1" outlineLevel="1">
      <c r="A405" s="15" t="s">
        <v>324</v>
      </c>
      <c r="B405" s="14" t="s">
        <v>277</v>
      </c>
      <c r="C405" s="7" t="s">
        <v>198</v>
      </c>
      <c r="D405" s="7" t="s">
        <v>193</v>
      </c>
      <c r="E405" s="7" t="s">
        <v>82</v>
      </c>
      <c r="F405" s="7"/>
      <c r="G405" s="8">
        <f t="shared" si="12"/>
        <v>18728.4</v>
      </c>
      <c r="H405" s="8">
        <f t="shared" si="12"/>
        <v>8340</v>
      </c>
    </row>
    <row r="406" spans="1:8" ht="29.25" customHeight="1" outlineLevel="1">
      <c r="A406" s="15" t="s">
        <v>20</v>
      </c>
      <c r="B406" s="14" t="s">
        <v>277</v>
      </c>
      <c r="C406" s="7" t="s">
        <v>198</v>
      </c>
      <c r="D406" s="7" t="s">
        <v>193</v>
      </c>
      <c r="E406" s="7" t="s">
        <v>83</v>
      </c>
      <c r="F406" s="7"/>
      <c r="G406" s="8">
        <f t="shared" si="12"/>
        <v>18728.4</v>
      </c>
      <c r="H406" s="8">
        <f t="shared" si="12"/>
        <v>8340</v>
      </c>
    </row>
    <row r="407" spans="1:8" ht="15" customHeight="1" outlineLevel="1">
      <c r="A407" s="15" t="s">
        <v>187</v>
      </c>
      <c r="B407" s="14" t="s">
        <v>277</v>
      </c>
      <c r="C407" s="7" t="s">
        <v>198</v>
      </c>
      <c r="D407" s="7" t="s">
        <v>193</v>
      </c>
      <c r="E407" s="7" t="s">
        <v>83</v>
      </c>
      <c r="F407" s="7" t="s">
        <v>490</v>
      </c>
      <c r="G407" s="8">
        <f>G408+G409</f>
        <v>18728.4</v>
      </c>
      <c r="H407" s="8">
        <f>H408+H409</f>
        <v>8340</v>
      </c>
    </row>
    <row r="408" spans="1:8" ht="61.5" customHeight="1" outlineLevel="1">
      <c r="A408" s="15" t="s">
        <v>492</v>
      </c>
      <c r="B408" s="14" t="s">
        <v>277</v>
      </c>
      <c r="C408" s="7" t="s">
        <v>198</v>
      </c>
      <c r="D408" s="7" t="s">
        <v>193</v>
      </c>
      <c r="E408" s="7" t="s">
        <v>250</v>
      </c>
      <c r="F408" s="7" t="s">
        <v>491</v>
      </c>
      <c r="G408" s="8">
        <v>17228.4</v>
      </c>
      <c r="H408" s="8">
        <f>8300</f>
        <v>8300</v>
      </c>
    </row>
    <row r="409" spans="1:8" ht="32.25" customHeight="1" outlineLevel="1">
      <c r="A409" s="15" t="s">
        <v>489</v>
      </c>
      <c r="B409" s="14" t="s">
        <v>277</v>
      </c>
      <c r="C409" s="7" t="s">
        <v>198</v>
      </c>
      <c r="D409" s="7" t="s">
        <v>193</v>
      </c>
      <c r="E409" s="7" t="s">
        <v>251</v>
      </c>
      <c r="F409" s="7" t="s">
        <v>488</v>
      </c>
      <c r="G409" s="8">
        <v>1500</v>
      </c>
      <c r="H409" s="8">
        <f>40</f>
        <v>40</v>
      </c>
    </row>
    <row r="410" spans="1:8" ht="29.25" customHeight="1" outlineLevel="1">
      <c r="A410" s="19" t="s">
        <v>36</v>
      </c>
      <c r="B410" s="30" t="s">
        <v>277</v>
      </c>
      <c r="C410" s="6" t="s">
        <v>199</v>
      </c>
      <c r="D410" s="6" t="s">
        <v>194</v>
      </c>
      <c r="E410" s="6"/>
      <c r="F410" s="6"/>
      <c r="G410" s="4">
        <f aca="true" t="shared" si="13" ref="G410:H413">G411</f>
        <v>350</v>
      </c>
      <c r="H410" s="4">
        <f t="shared" si="13"/>
        <v>0</v>
      </c>
    </row>
    <row r="411" spans="1:8" ht="51" customHeight="1" outlineLevel="1">
      <c r="A411" s="18" t="s">
        <v>374</v>
      </c>
      <c r="B411" s="14" t="s">
        <v>277</v>
      </c>
      <c r="C411" s="7" t="s">
        <v>199</v>
      </c>
      <c r="D411" s="7" t="s">
        <v>193</v>
      </c>
      <c r="E411" s="7"/>
      <c r="F411" s="7"/>
      <c r="G411" s="8">
        <f t="shared" si="13"/>
        <v>350</v>
      </c>
      <c r="H411" s="8">
        <f t="shared" si="13"/>
        <v>0</v>
      </c>
    </row>
    <row r="412" spans="1:8" ht="30.75" customHeight="1" outlineLevel="1">
      <c r="A412" s="15" t="s">
        <v>37</v>
      </c>
      <c r="B412" s="14" t="s">
        <v>277</v>
      </c>
      <c r="C412" s="7" t="s">
        <v>199</v>
      </c>
      <c r="D412" s="7" t="s">
        <v>193</v>
      </c>
      <c r="E412" s="7" t="s">
        <v>38</v>
      </c>
      <c r="F412" s="7"/>
      <c r="G412" s="8">
        <f t="shared" si="13"/>
        <v>350</v>
      </c>
      <c r="H412" s="8">
        <f t="shared" si="13"/>
        <v>0</v>
      </c>
    </row>
    <row r="413" spans="1:8" ht="15" customHeight="1" outlineLevel="1">
      <c r="A413" s="15" t="s">
        <v>325</v>
      </c>
      <c r="B413" s="14" t="s">
        <v>277</v>
      </c>
      <c r="C413" s="7" t="s">
        <v>199</v>
      </c>
      <c r="D413" s="7" t="s">
        <v>193</v>
      </c>
      <c r="E413" s="7" t="s">
        <v>39</v>
      </c>
      <c r="F413" s="7"/>
      <c r="G413" s="8">
        <f t="shared" si="13"/>
        <v>350</v>
      </c>
      <c r="H413" s="8">
        <f t="shared" si="13"/>
        <v>0</v>
      </c>
    </row>
    <row r="414" spans="1:8" ht="30" customHeight="1" outlineLevel="1">
      <c r="A414" s="15" t="s">
        <v>512</v>
      </c>
      <c r="B414" s="14" t="s">
        <v>277</v>
      </c>
      <c r="C414" s="7" t="s">
        <v>199</v>
      </c>
      <c r="D414" s="7" t="s">
        <v>193</v>
      </c>
      <c r="E414" s="7" t="s">
        <v>39</v>
      </c>
      <c r="F414" s="7" t="s">
        <v>511</v>
      </c>
      <c r="G414" s="8">
        <v>350</v>
      </c>
      <c r="H414" s="8">
        <v>0</v>
      </c>
    </row>
    <row r="415" spans="1:8" ht="65.25" customHeight="1">
      <c r="A415" s="22" t="s">
        <v>275</v>
      </c>
      <c r="B415" s="13" t="s">
        <v>276</v>
      </c>
      <c r="C415" s="13"/>
      <c r="D415" s="13"/>
      <c r="E415" s="13"/>
      <c r="F415" s="13"/>
      <c r="G415" s="16">
        <f>G416</f>
        <v>6683.3</v>
      </c>
      <c r="H415" s="16">
        <f>H416</f>
        <v>3531.2</v>
      </c>
    </row>
    <row r="416" spans="1:8" ht="19.5" customHeight="1" outlineLevel="1">
      <c r="A416" s="17" t="s">
        <v>1</v>
      </c>
      <c r="B416" s="30" t="s">
        <v>276</v>
      </c>
      <c r="C416" s="6" t="s">
        <v>193</v>
      </c>
      <c r="D416" s="6" t="s">
        <v>194</v>
      </c>
      <c r="E416" s="6"/>
      <c r="F416" s="6"/>
      <c r="G416" s="4">
        <f>G417+G428</f>
        <v>6683.3</v>
      </c>
      <c r="H416" s="4">
        <f>H417+H428</f>
        <v>3531.2</v>
      </c>
    </row>
    <row r="417" spans="1:8" ht="81" customHeight="1" outlineLevel="1">
      <c r="A417" s="18" t="s">
        <v>189</v>
      </c>
      <c r="B417" s="14" t="s">
        <v>276</v>
      </c>
      <c r="C417" s="7" t="s">
        <v>193</v>
      </c>
      <c r="D417" s="7" t="s">
        <v>195</v>
      </c>
      <c r="E417" s="7"/>
      <c r="F417" s="7"/>
      <c r="G417" s="8">
        <f>G418</f>
        <v>6383.3</v>
      </c>
      <c r="H417" s="8">
        <f>H418</f>
        <v>3231.2</v>
      </c>
    </row>
    <row r="418" spans="1:8" ht="74.25" customHeight="1" outlineLevel="1">
      <c r="A418" s="15" t="s">
        <v>190</v>
      </c>
      <c r="B418" s="14" t="s">
        <v>276</v>
      </c>
      <c r="C418" s="7" t="s">
        <v>193</v>
      </c>
      <c r="D418" s="7" t="s">
        <v>195</v>
      </c>
      <c r="E418" s="7" t="s">
        <v>18</v>
      </c>
      <c r="F418" s="7"/>
      <c r="G418" s="8">
        <f>G419+G425</f>
        <v>6383.3</v>
      </c>
      <c r="H418" s="8">
        <f>H419+H425</f>
        <v>3231.2</v>
      </c>
    </row>
    <row r="419" spans="1:8" ht="15" customHeight="1" outlineLevel="1">
      <c r="A419" s="15" t="s">
        <v>526</v>
      </c>
      <c r="B419" s="14" t="s">
        <v>276</v>
      </c>
      <c r="C419" s="7" t="s">
        <v>193</v>
      </c>
      <c r="D419" s="7" t="s">
        <v>195</v>
      </c>
      <c r="E419" s="7" t="s">
        <v>15</v>
      </c>
      <c r="F419" s="7"/>
      <c r="G419" s="8">
        <f>G420</f>
        <v>2853.8</v>
      </c>
      <c r="H419" s="8">
        <f>H420</f>
        <v>1506</v>
      </c>
    </row>
    <row r="420" spans="1:8" ht="30.75" customHeight="1" outlineLevel="1">
      <c r="A420" s="15" t="s">
        <v>527</v>
      </c>
      <c r="B420" s="14" t="s">
        <v>276</v>
      </c>
      <c r="C420" s="7" t="s">
        <v>193</v>
      </c>
      <c r="D420" s="7" t="s">
        <v>195</v>
      </c>
      <c r="E420" s="7" t="s">
        <v>191</v>
      </c>
      <c r="F420" s="7"/>
      <c r="G420" s="8">
        <f>G421+G422+G423+G424</f>
        <v>2853.8</v>
      </c>
      <c r="H420" s="8">
        <f>H421+H422+H423+H424</f>
        <v>1506</v>
      </c>
    </row>
    <row r="421" spans="1:8" ht="15" customHeight="1" outlineLevel="1">
      <c r="A421" s="15" t="s">
        <v>468</v>
      </c>
      <c r="B421" s="14" t="s">
        <v>276</v>
      </c>
      <c r="C421" s="7" t="s">
        <v>193</v>
      </c>
      <c r="D421" s="7" t="s">
        <v>195</v>
      </c>
      <c r="E421" s="7" t="s">
        <v>191</v>
      </c>
      <c r="F421" s="7" t="s">
        <v>470</v>
      </c>
      <c r="G421" s="8">
        <v>1597.2</v>
      </c>
      <c r="H421" s="8">
        <f>786.5</f>
        <v>786.5</v>
      </c>
    </row>
    <row r="422" spans="1:8" ht="30.75" customHeight="1" outlineLevel="1">
      <c r="A422" s="15" t="s">
        <v>469</v>
      </c>
      <c r="B422" s="14" t="s">
        <v>276</v>
      </c>
      <c r="C422" s="7" t="s">
        <v>193</v>
      </c>
      <c r="D422" s="7" t="s">
        <v>195</v>
      </c>
      <c r="E422" s="7" t="s">
        <v>191</v>
      </c>
      <c r="F422" s="7" t="s">
        <v>471</v>
      </c>
      <c r="G422" s="8">
        <v>0.6</v>
      </c>
      <c r="H422" s="8">
        <v>0</v>
      </c>
    </row>
    <row r="423" spans="1:8" ht="45" customHeight="1" outlineLevel="1">
      <c r="A423" s="15" t="s">
        <v>484</v>
      </c>
      <c r="B423" s="14" t="s">
        <v>276</v>
      </c>
      <c r="C423" s="7" t="s">
        <v>193</v>
      </c>
      <c r="D423" s="7" t="s">
        <v>195</v>
      </c>
      <c r="E423" s="7" t="s">
        <v>191</v>
      </c>
      <c r="F423" s="7" t="s">
        <v>483</v>
      </c>
      <c r="G423" s="8">
        <v>128.4</v>
      </c>
      <c r="H423" s="8">
        <f>56.9</f>
        <v>56.9</v>
      </c>
    </row>
    <row r="424" spans="1:8" ht="30" customHeight="1" outlineLevel="1">
      <c r="A424" s="15" t="s">
        <v>467</v>
      </c>
      <c r="B424" s="14" t="s">
        <v>276</v>
      </c>
      <c r="C424" s="7" t="s">
        <v>193</v>
      </c>
      <c r="D424" s="7" t="s">
        <v>195</v>
      </c>
      <c r="E424" s="7" t="s">
        <v>191</v>
      </c>
      <c r="F424" s="7" t="s">
        <v>466</v>
      </c>
      <c r="G424" s="8">
        <v>1127.6</v>
      </c>
      <c r="H424" s="8">
        <f>662.6</f>
        <v>662.6</v>
      </c>
    </row>
    <row r="425" spans="1:8" ht="30.75" customHeight="1" outlineLevel="1">
      <c r="A425" s="15" t="s">
        <v>11</v>
      </c>
      <c r="B425" s="14" t="s">
        <v>276</v>
      </c>
      <c r="C425" s="7" t="s">
        <v>193</v>
      </c>
      <c r="D425" s="7" t="s">
        <v>195</v>
      </c>
      <c r="E425" s="7" t="s">
        <v>12</v>
      </c>
      <c r="F425" s="7"/>
      <c r="G425" s="8">
        <f>G426+G427</f>
        <v>3529.5</v>
      </c>
      <c r="H425" s="8">
        <f>H426+H427</f>
        <v>1725.1999999999998</v>
      </c>
    </row>
    <row r="426" spans="1:8" ht="15" customHeight="1" outlineLevel="1">
      <c r="A426" s="15" t="s">
        <v>468</v>
      </c>
      <c r="B426" s="14" t="s">
        <v>276</v>
      </c>
      <c r="C426" s="7" t="s">
        <v>193</v>
      </c>
      <c r="D426" s="7" t="s">
        <v>195</v>
      </c>
      <c r="E426" s="7" t="s">
        <v>12</v>
      </c>
      <c r="F426" s="7" t="s">
        <v>470</v>
      </c>
      <c r="G426" s="8">
        <v>981.9</v>
      </c>
      <c r="H426" s="8">
        <f>551.4</f>
        <v>551.4</v>
      </c>
    </row>
    <row r="427" spans="1:8" ht="32.25" customHeight="1" outlineLevel="1">
      <c r="A427" s="15" t="s">
        <v>469</v>
      </c>
      <c r="B427" s="14" t="s">
        <v>276</v>
      </c>
      <c r="C427" s="7" t="s">
        <v>193</v>
      </c>
      <c r="D427" s="7" t="s">
        <v>195</v>
      </c>
      <c r="E427" s="7" t="s">
        <v>12</v>
      </c>
      <c r="F427" s="7" t="s">
        <v>471</v>
      </c>
      <c r="G427" s="8">
        <v>2547.6</v>
      </c>
      <c r="H427" s="8">
        <f>1173.8</f>
        <v>1173.8</v>
      </c>
    </row>
    <row r="428" spans="1:8" ht="15" customHeight="1" outlineLevel="1">
      <c r="A428" s="23" t="s">
        <v>162</v>
      </c>
      <c r="B428" s="14" t="s">
        <v>276</v>
      </c>
      <c r="C428" s="7" t="s">
        <v>193</v>
      </c>
      <c r="D428" s="7" t="s">
        <v>197</v>
      </c>
      <c r="E428" s="5">
        <v>5210000</v>
      </c>
      <c r="F428" s="7"/>
      <c r="G428" s="8">
        <f aca="true" t="shared" si="14" ref="G428:H430">G429</f>
        <v>300</v>
      </c>
      <c r="H428" s="8">
        <f t="shared" si="14"/>
        <v>300</v>
      </c>
    </row>
    <row r="429" spans="1:8" ht="119.25" customHeight="1" outlineLevel="1">
      <c r="A429" s="23" t="s">
        <v>434</v>
      </c>
      <c r="B429" s="14" t="s">
        <v>276</v>
      </c>
      <c r="C429" s="7" t="s">
        <v>193</v>
      </c>
      <c r="D429" s="7" t="s">
        <v>197</v>
      </c>
      <c r="E429" s="5">
        <v>5210600</v>
      </c>
      <c r="F429" s="7"/>
      <c r="G429" s="8">
        <f t="shared" si="14"/>
        <v>300</v>
      </c>
      <c r="H429" s="8">
        <f t="shared" si="14"/>
        <v>300</v>
      </c>
    </row>
    <row r="430" spans="1:8" ht="47.25" customHeight="1" outlineLevel="1">
      <c r="A430" s="23" t="s">
        <v>531</v>
      </c>
      <c r="B430" s="14" t="s">
        <v>276</v>
      </c>
      <c r="C430" s="7" t="s">
        <v>193</v>
      </c>
      <c r="D430" s="7" t="s">
        <v>197</v>
      </c>
      <c r="E430" s="5">
        <v>5210605</v>
      </c>
      <c r="F430" s="7"/>
      <c r="G430" s="8">
        <f t="shared" si="14"/>
        <v>300</v>
      </c>
      <c r="H430" s="8">
        <f t="shared" si="14"/>
        <v>300</v>
      </c>
    </row>
    <row r="431" spans="1:8" ht="15" customHeight="1" outlineLevel="1">
      <c r="A431" s="20" t="s">
        <v>192</v>
      </c>
      <c r="B431" s="14" t="s">
        <v>276</v>
      </c>
      <c r="C431" s="7" t="s">
        <v>193</v>
      </c>
      <c r="D431" s="7" t="s">
        <v>197</v>
      </c>
      <c r="E431" s="5">
        <v>5210605</v>
      </c>
      <c r="F431" s="7" t="s">
        <v>493</v>
      </c>
      <c r="G431" s="8">
        <v>300</v>
      </c>
      <c r="H431" s="8">
        <v>300</v>
      </c>
    </row>
    <row r="432" spans="1:8" ht="64.5" customHeight="1">
      <c r="A432" s="22" t="s">
        <v>354</v>
      </c>
      <c r="B432" s="13" t="s">
        <v>274</v>
      </c>
      <c r="C432" s="13"/>
      <c r="D432" s="13"/>
      <c r="E432" s="13"/>
      <c r="F432" s="13"/>
      <c r="G432" s="16">
        <f>G443+G438+G433</f>
        <v>207377.8</v>
      </c>
      <c r="H432" s="16">
        <f>H443+H438+H433</f>
        <v>42488.9</v>
      </c>
    </row>
    <row r="433" spans="1:8" ht="34.5" customHeight="1" outlineLevel="1">
      <c r="A433" s="17" t="s">
        <v>3</v>
      </c>
      <c r="B433" s="30" t="s">
        <v>274</v>
      </c>
      <c r="C433" s="6" t="s">
        <v>195</v>
      </c>
      <c r="D433" s="6" t="s">
        <v>194</v>
      </c>
      <c r="E433" s="6"/>
      <c r="F433" s="13"/>
      <c r="G433" s="4">
        <f aca="true" t="shared" si="15" ref="G433:H436">G434</f>
        <v>452</v>
      </c>
      <c r="H433" s="4">
        <f t="shared" si="15"/>
        <v>313.4</v>
      </c>
    </row>
    <row r="434" spans="1:8" ht="15" customHeight="1" outlineLevel="1">
      <c r="A434" s="18" t="s">
        <v>100</v>
      </c>
      <c r="B434" s="14" t="s">
        <v>274</v>
      </c>
      <c r="C434" s="7" t="s">
        <v>195</v>
      </c>
      <c r="D434" s="7" t="s">
        <v>208</v>
      </c>
      <c r="E434" s="7"/>
      <c r="F434" s="7"/>
      <c r="G434" s="8">
        <f t="shared" si="15"/>
        <v>452</v>
      </c>
      <c r="H434" s="8">
        <f t="shared" si="15"/>
        <v>313.4</v>
      </c>
    </row>
    <row r="435" spans="1:8" ht="28.5" customHeight="1" outlineLevel="1">
      <c r="A435" s="15" t="s">
        <v>206</v>
      </c>
      <c r="B435" s="14" t="s">
        <v>274</v>
      </c>
      <c r="C435" s="7" t="s">
        <v>195</v>
      </c>
      <c r="D435" s="7" t="s">
        <v>208</v>
      </c>
      <c r="E435" s="7" t="s">
        <v>33</v>
      </c>
      <c r="F435" s="7"/>
      <c r="G435" s="8">
        <f t="shared" si="15"/>
        <v>452</v>
      </c>
      <c r="H435" s="8">
        <f t="shared" si="15"/>
        <v>313.4</v>
      </c>
    </row>
    <row r="436" spans="1:8" ht="44.25" customHeight="1" outlineLevel="1">
      <c r="A436" s="15" t="s">
        <v>398</v>
      </c>
      <c r="B436" s="14" t="s">
        <v>274</v>
      </c>
      <c r="C436" s="7" t="s">
        <v>195</v>
      </c>
      <c r="D436" s="7" t="s">
        <v>208</v>
      </c>
      <c r="E436" s="7" t="s">
        <v>182</v>
      </c>
      <c r="F436" s="7"/>
      <c r="G436" s="8">
        <f t="shared" si="15"/>
        <v>452</v>
      </c>
      <c r="H436" s="8">
        <f t="shared" si="15"/>
        <v>313.4</v>
      </c>
    </row>
    <row r="437" spans="1:8" ht="30" customHeight="1" outlineLevel="1">
      <c r="A437" s="15" t="s">
        <v>489</v>
      </c>
      <c r="B437" s="14" t="s">
        <v>274</v>
      </c>
      <c r="C437" s="7" t="s">
        <v>195</v>
      </c>
      <c r="D437" s="7" t="s">
        <v>208</v>
      </c>
      <c r="E437" s="7" t="s">
        <v>182</v>
      </c>
      <c r="F437" s="7" t="s">
        <v>488</v>
      </c>
      <c r="G437" s="8">
        <v>452</v>
      </c>
      <c r="H437" s="8">
        <f>313.4</f>
        <v>313.4</v>
      </c>
    </row>
    <row r="438" spans="1:8" ht="20.25" customHeight="1" outlineLevel="1">
      <c r="A438" s="19" t="s">
        <v>5</v>
      </c>
      <c r="B438" s="30" t="s">
        <v>274</v>
      </c>
      <c r="C438" s="6" t="s">
        <v>211</v>
      </c>
      <c r="D438" s="6" t="s">
        <v>194</v>
      </c>
      <c r="E438" s="6"/>
      <c r="F438" s="6"/>
      <c r="G438" s="4">
        <f>G439</f>
        <v>75</v>
      </c>
      <c r="H438" s="4">
        <f>H439</f>
        <v>0</v>
      </c>
    </row>
    <row r="439" spans="1:8" ht="15" customHeight="1" outlineLevel="1">
      <c r="A439" s="15" t="s">
        <v>311</v>
      </c>
      <c r="B439" s="14" t="s">
        <v>274</v>
      </c>
      <c r="C439" s="7" t="s">
        <v>211</v>
      </c>
      <c r="D439" s="7" t="s">
        <v>214</v>
      </c>
      <c r="E439" s="7"/>
      <c r="F439" s="7"/>
      <c r="G439" s="8">
        <f>G440</f>
        <v>75</v>
      </c>
      <c r="H439" s="8">
        <f>H440</f>
        <v>0</v>
      </c>
    </row>
    <row r="440" spans="1:8" ht="60.75" customHeight="1" outlineLevel="1">
      <c r="A440" s="15" t="s">
        <v>218</v>
      </c>
      <c r="B440" s="14" t="s">
        <v>274</v>
      </c>
      <c r="C440" s="7" t="s">
        <v>211</v>
      </c>
      <c r="D440" s="7" t="s">
        <v>214</v>
      </c>
      <c r="E440" s="7" t="s">
        <v>118</v>
      </c>
      <c r="F440" s="7"/>
      <c r="G440" s="8">
        <f>G441+G442</f>
        <v>75</v>
      </c>
      <c r="H440" s="8">
        <f>H441+H442</f>
        <v>0</v>
      </c>
    </row>
    <row r="441" spans="1:8" ht="28.5" customHeight="1" outlineLevel="1">
      <c r="A441" s="15" t="s">
        <v>467</v>
      </c>
      <c r="B441" s="14" t="s">
        <v>274</v>
      </c>
      <c r="C441" s="7" t="s">
        <v>211</v>
      </c>
      <c r="D441" s="7" t="s">
        <v>214</v>
      </c>
      <c r="E441" s="7" t="s">
        <v>118</v>
      </c>
      <c r="F441" s="7" t="s">
        <v>466</v>
      </c>
      <c r="G441" s="8">
        <v>25</v>
      </c>
      <c r="H441" s="8">
        <v>0</v>
      </c>
    </row>
    <row r="442" spans="1:8" ht="27" customHeight="1" outlineLevel="1">
      <c r="A442" s="15" t="s">
        <v>489</v>
      </c>
      <c r="B442" s="14" t="s">
        <v>274</v>
      </c>
      <c r="C442" s="7" t="s">
        <v>211</v>
      </c>
      <c r="D442" s="7" t="s">
        <v>214</v>
      </c>
      <c r="E442" s="7" t="s">
        <v>118</v>
      </c>
      <c r="F442" s="7" t="s">
        <v>488</v>
      </c>
      <c r="G442" s="8">
        <v>50</v>
      </c>
      <c r="H442" s="8">
        <v>0</v>
      </c>
    </row>
    <row r="443" spans="1:8" ht="15.75" customHeight="1" outlineLevel="1">
      <c r="A443" s="17" t="s">
        <v>133</v>
      </c>
      <c r="B443" s="30" t="s">
        <v>274</v>
      </c>
      <c r="C443" s="6" t="s">
        <v>224</v>
      </c>
      <c r="D443" s="6" t="s">
        <v>194</v>
      </c>
      <c r="E443" s="6"/>
      <c r="F443" s="6"/>
      <c r="G443" s="4">
        <f>G444+G522+G525</f>
        <v>206850.8</v>
      </c>
      <c r="H443" s="4">
        <f>H444+H525</f>
        <v>42175.5</v>
      </c>
    </row>
    <row r="444" spans="1:8" ht="15" customHeight="1" outlineLevel="1">
      <c r="A444" s="18" t="s">
        <v>127</v>
      </c>
      <c r="B444" s="14" t="s">
        <v>274</v>
      </c>
      <c r="C444" s="7" t="s">
        <v>224</v>
      </c>
      <c r="D444" s="7" t="s">
        <v>193</v>
      </c>
      <c r="E444" s="7"/>
      <c r="F444" s="7"/>
      <c r="G444" s="8">
        <f>G448+G466+G471+G475+G516</f>
        <v>202105</v>
      </c>
      <c r="H444" s="8">
        <f>H448+H466+H471+H475+H516+H522</f>
        <v>40078</v>
      </c>
    </row>
    <row r="445" spans="1:8" ht="19.5" customHeight="1" hidden="1" outlineLevel="2">
      <c r="A445" s="15" t="s">
        <v>2</v>
      </c>
      <c r="B445" s="14" t="s">
        <v>274</v>
      </c>
      <c r="C445" s="7" t="s">
        <v>224</v>
      </c>
      <c r="D445" s="7" t="s">
        <v>193</v>
      </c>
      <c r="E445" s="7" t="s">
        <v>203</v>
      </c>
      <c r="F445" s="7"/>
      <c r="G445" s="8">
        <f>G446</f>
        <v>0</v>
      </c>
      <c r="H445" s="8">
        <f>H446</f>
        <v>0</v>
      </c>
    </row>
    <row r="446" spans="1:8" ht="26.25" customHeight="1" hidden="1" outlineLevel="2">
      <c r="A446" s="15" t="s">
        <v>355</v>
      </c>
      <c r="B446" s="14" t="s">
        <v>274</v>
      </c>
      <c r="C446" s="7" t="s">
        <v>224</v>
      </c>
      <c r="D446" s="7" t="s">
        <v>193</v>
      </c>
      <c r="E446" s="7" t="s">
        <v>356</v>
      </c>
      <c r="F446" s="7"/>
      <c r="G446" s="8">
        <f>G447</f>
        <v>0</v>
      </c>
      <c r="H446" s="8">
        <f>H447</f>
        <v>0</v>
      </c>
    </row>
    <row r="447" spans="1:8" ht="18" customHeight="1" hidden="1" outlineLevel="2">
      <c r="A447" s="11" t="s">
        <v>221</v>
      </c>
      <c r="B447" s="14" t="s">
        <v>274</v>
      </c>
      <c r="C447" s="7" t="s">
        <v>224</v>
      </c>
      <c r="D447" s="7" t="s">
        <v>193</v>
      </c>
      <c r="E447" s="7" t="s">
        <v>356</v>
      </c>
      <c r="F447" s="7" t="s">
        <v>188</v>
      </c>
      <c r="G447" s="8">
        <v>0</v>
      </c>
      <c r="H447" s="8">
        <v>0</v>
      </c>
    </row>
    <row r="448" spans="1:8" ht="30" outlineLevel="1" collapsed="1">
      <c r="A448" s="15" t="s">
        <v>175</v>
      </c>
      <c r="B448" s="14" t="s">
        <v>274</v>
      </c>
      <c r="C448" s="7" t="s">
        <v>224</v>
      </c>
      <c r="D448" s="7" t="s">
        <v>193</v>
      </c>
      <c r="E448" s="7" t="s">
        <v>74</v>
      </c>
      <c r="F448" s="7"/>
      <c r="G448" s="8">
        <f>G449</f>
        <v>117312.6</v>
      </c>
      <c r="H448" s="8">
        <f>H449</f>
        <v>25923.5</v>
      </c>
    </row>
    <row r="449" spans="1:8" ht="30" outlineLevel="1">
      <c r="A449" s="15" t="s">
        <v>76</v>
      </c>
      <c r="B449" s="14" t="s">
        <v>274</v>
      </c>
      <c r="C449" s="7" t="s">
        <v>224</v>
      </c>
      <c r="D449" s="7" t="s">
        <v>193</v>
      </c>
      <c r="E449" s="7" t="s">
        <v>75</v>
      </c>
      <c r="F449" s="7"/>
      <c r="G449" s="8">
        <f>G450+G454+G458+G462</f>
        <v>117312.6</v>
      </c>
      <c r="H449" s="8">
        <f>H450+H454+H458+H462</f>
        <v>25923.5</v>
      </c>
    </row>
    <row r="450" spans="1:8" ht="30" outlineLevel="1">
      <c r="A450" s="15" t="s">
        <v>326</v>
      </c>
      <c r="B450" s="14" t="s">
        <v>274</v>
      </c>
      <c r="C450" s="7" t="s">
        <v>224</v>
      </c>
      <c r="D450" s="7" t="s">
        <v>193</v>
      </c>
      <c r="E450" s="7" t="s">
        <v>225</v>
      </c>
      <c r="F450" s="7"/>
      <c r="G450" s="8">
        <f>G451</f>
        <v>78720</v>
      </c>
      <c r="H450" s="8">
        <f>H451</f>
        <v>11036.7</v>
      </c>
    </row>
    <row r="451" spans="1:8" ht="15" customHeight="1" outlineLevel="1">
      <c r="A451" s="15" t="s">
        <v>187</v>
      </c>
      <c r="B451" s="14" t="s">
        <v>274</v>
      </c>
      <c r="C451" s="7" t="s">
        <v>224</v>
      </c>
      <c r="D451" s="7" t="s">
        <v>193</v>
      </c>
      <c r="E451" s="7" t="s">
        <v>225</v>
      </c>
      <c r="F451" s="7" t="s">
        <v>490</v>
      </c>
      <c r="G451" s="8">
        <f>G452+G453</f>
        <v>78720</v>
      </c>
      <c r="H451" s="8">
        <f>H452+H453</f>
        <v>11036.7</v>
      </c>
    </row>
    <row r="452" spans="1:8" ht="60" outlineLevel="1">
      <c r="A452" s="15" t="s">
        <v>492</v>
      </c>
      <c r="B452" s="14" t="s">
        <v>274</v>
      </c>
      <c r="C452" s="7" t="s">
        <v>224</v>
      </c>
      <c r="D452" s="7" t="s">
        <v>193</v>
      </c>
      <c r="E452" s="7" t="s">
        <v>226</v>
      </c>
      <c r="F452" s="7" t="s">
        <v>491</v>
      </c>
      <c r="G452" s="8">
        <v>19985.6</v>
      </c>
      <c r="H452" s="8">
        <f>10751.2</f>
        <v>10751.2</v>
      </c>
    </row>
    <row r="453" spans="1:8" ht="30" outlineLevel="1">
      <c r="A453" s="15" t="s">
        <v>489</v>
      </c>
      <c r="B453" s="14" t="s">
        <v>274</v>
      </c>
      <c r="C453" s="7" t="s">
        <v>224</v>
      </c>
      <c r="D453" s="7" t="s">
        <v>193</v>
      </c>
      <c r="E453" s="7" t="s">
        <v>227</v>
      </c>
      <c r="F453" s="7" t="s">
        <v>488</v>
      </c>
      <c r="G453" s="8">
        <f>58734.4</f>
        <v>58734.4</v>
      </c>
      <c r="H453" s="8">
        <f>285.5</f>
        <v>285.5</v>
      </c>
    </row>
    <row r="454" spans="1:8" ht="30" outlineLevel="1">
      <c r="A454" s="15" t="s">
        <v>327</v>
      </c>
      <c r="B454" s="14" t="s">
        <v>274</v>
      </c>
      <c r="C454" s="7" t="s">
        <v>224</v>
      </c>
      <c r="D454" s="7" t="s">
        <v>193</v>
      </c>
      <c r="E454" s="7" t="s">
        <v>228</v>
      </c>
      <c r="F454" s="7"/>
      <c r="G454" s="8">
        <f>G455</f>
        <v>29676</v>
      </c>
      <c r="H454" s="8">
        <f>H455</f>
        <v>10359.6</v>
      </c>
    </row>
    <row r="455" spans="1:8" ht="15" customHeight="1" outlineLevel="1">
      <c r="A455" s="15" t="s">
        <v>187</v>
      </c>
      <c r="B455" s="14" t="s">
        <v>274</v>
      </c>
      <c r="C455" s="7" t="s">
        <v>224</v>
      </c>
      <c r="D455" s="7" t="s">
        <v>193</v>
      </c>
      <c r="E455" s="7" t="s">
        <v>228</v>
      </c>
      <c r="F455" s="7" t="s">
        <v>490</v>
      </c>
      <c r="G455" s="8">
        <f>G456+G457</f>
        <v>29676</v>
      </c>
      <c r="H455" s="8">
        <f>H456+H457</f>
        <v>10359.6</v>
      </c>
    </row>
    <row r="456" spans="1:8" ht="60" outlineLevel="1">
      <c r="A456" s="15" t="s">
        <v>492</v>
      </c>
      <c r="B456" s="14" t="s">
        <v>274</v>
      </c>
      <c r="C456" s="7" t="s">
        <v>224</v>
      </c>
      <c r="D456" s="7" t="s">
        <v>193</v>
      </c>
      <c r="E456" s="7" t="s">
        <v>229</v>
      </c>
      <c r="F456" s="7" t="s">
        <v>491</v>
      </c>
      <c r="G456" s="8">
        <v>18781</v>
      </c>
      <c r="H456" s="8">
        <f>10104.6</f>
        <v>10104.6</v>
      </c>
    </row>
    <row r="457" spans="1:8" ht="30" outlineLevel="1">
      <c r="A457" s="15" t="s">
        <v>489</v>
      </c>
      <c r="B457" s="14" t="s">
        <v>274</v>
      </c>
      <c r="C457" s="7" t="s">
        <v>224</v>
      </c>
      <c r="D457" s="7" t="s">
        <v>193</v>
      </c>
      <c r="E457" s="7" t="s">
        <v>366</v>
      </c>
      <c r="F457" s="7" t="s">
        <v>488</v>
      </c>
      <c r="G457" s="8">
        <v>10895</v>
      </c>
      <c r="H457" s="8">
        <f>255</f>
        <v>255</v>
      </c>
    </row>
    <row r="458" spans="1:8" ht="29.25" customHeight="1" outlineLevel="1">
      <c r="A458" s="15" t="s">
        <v>232</v>
      </c>
      <c r="B458" s="14" t="s">
        <v>274</v>
      </c>
      <c r="C458" s="7" t="s">
        <v>224</v>
      </c>
      <c r="D458" s="7" t="s">
        <v>193</v>
      </c>
      <c r="E458" s="7" t="s">
        <v>230</v>
      </c>
      <c r="F458" s="7"/>
      <c r="G458" s="8">
        <f>G459</f>
        <v>5875.1</v>
      </c>
      <c r="H458" s="8">
        <f>H459</f>
        <v>3005.1</v>
      </c>
    </row>
    <row r="459" spans="1:8" ht="15" customHeight="1" outlineLevel="1">
      <c r="A459" s="15" t="s">
        <v>187</v>
      </c>
      <c r="B459" s="14" t="s">
        <v>274</v>
      </c>
      <c r="C459" s="7" t="s">
        <v>224</v>
      </c>
      <c r="D459" s="7" t="s">
        <v>193</v>
      </c>
      <c r="E459" s="7" t="s">
        <v>230</v>
      </c>
      <c r="F459" s="7" t="s">
        <v>490</v>
      </c>
      <c r="G459" s="8">
        <f>G460+G461</f>
        <v>5875.1</v>
      </c>
      <c r="H459" s="8">
        <f>H460+H461</f>
        <v>3005.1</v>
      </c>
    </row>
    <row r="460" spans="1:8" ht="60" outlineLevel="1">
      <c r="A460" s="15" t="s">
        <v>492</v>
      </c>
      <c r="B460" s="14" t="s">
        <v>274</v>
      </c>
      <c r="C460" s="7" t="s">
        <v>224</v>
      </c>
      <c r="D460" s="7" t="s">
        <v>193</v>
      </c>
      <c r="E460" s="7" t="s">
        <v>231</v>
      </c>
      <c r="F460" s="7" t="s">
        <v>491</v>
      </c>
      <c r="G460" s="8">
        <v>5775.1</v>
      </c>
      <c r="H460" s="8">
        <f>2963.2</f>
        <v>2963.2</v>
      </c>
    </row>
    <row r="461" spans="1:8" ht="30" outlineLevel="1">
      <c r="A461" s="15" t="s">
        <v>489</v>
      </c>
      <c r="B461" s="14" t="s">
        <v>274</v>
      </c>
      <c r="C461" s="7" t="s">
        <v>224</v>
      </c>
      <c r="D461" s="7" t="s">
        <v>193</v>
      </c>
      <c r="E461" s="7" t="s">
        <v>523</v>
      </c>
      <c r="F461" s="7" t="s">
        <v>488</v>
      </c>
      <c r="G461" s="8">
        <v>100</v>
      </c>
      <c r="H461" s="8">
        <f>41.9</f>
        <v>41.9</v>
      </c>
    </row>
    <row r="462" spans="1:8" ht="33" customHeight="1" outlineLevel="1">
      <c r="A462" s="15" t="s">
        <v>328</v>
      </c>
      <c r="B462" s="14" t="s">
        <v>274</v>
      </c>
      <c r="C462" s="7" t="s">
        <v>224</v>
      </c>
      <c r="D462" s="7" t="s">
        <v>193</v>
      </c>
      <c r="E462" s="7" t="s">
        <v>233</v>
      </c>
      <c r="F462" s="7"/>
      <c r="G462" s="8">
        <f>G463</f>
        <v>3041.5</v>
      </c>
      <c r="H462" s="8">
        <f>H463</f>
        <v>1522.1</v>
      </c>
    </row>
    <row r="463" spans="1:8" ht="15" customHeight="1" outlineLevel="1">
      <c r="A463" s="15" t="s">
        <v>187</v>
      </c>
      <c r="B463" s="14" t="s">
        <v>274</v>
      </c>
      <c r="C463" s="7" t="s">
        <v>224</v>
      </c>
      <c r="D463" s="7" t="s">
        <v>193</v>
      </c>
      <c r="E463" s="7" t="s">
        <v>233</v>
      </c>
      <c r="F463" s="7" t="s">
        <v>490</v>
      </c>
      <c r="G463" s="8">
        <f>G464</f>
        <v>3041.5</v>
      </c>
      <c r="H463" s="8">
        <f>H464</f>
        <v>1522.1</v>
      </c>
    </row>
    <row r="464" spans="1:8" ht="60" outlineLevel="1">
      <c r="A464" s="15" t="s">
        <v>492</v>
      </c>
      <c r="B464" s="14" t="s">
        <v>274</v>
      </c>
      <c r="C464" s="7" t="s">
        <v>224</v>
      </c>
      <c r="D464" s="7" t="s">
        <v>193</v>
      </c>
      <c r="E464" s="7" t="s">
        <v>234</v>
      </c>
      <c r="F464" s="7" t="s">
        <v>491</v>
      </c>
      <c r="G464" s="8">
        <v>3041.5</v>
      </c>
      <c r="H464" s="8">
        <f>1522.1</f>
        <v>1522.1</v>
      </c>
    </row>
    <row r="465" spans="1:8" ht="15" customHeight="1" outlineLevel="1">
      <c r="A465" s="11" t="s">
        <v>435</v>
      </c>
      <c r="B465" s="14" t="s">
        <v>274</v>
      </c>
      <c r="C465" s="7" t="s">
        <v>224</v>
      </c>
      <c r="D465" s="7" t="s">
        <v>193</v>
      </c>
      <c r="E465" s="7" t="s">
        <v>436</v>
      </c>
      <c r="F465" s="7"/>
      <c r="G465" s="8">
        <f>G466</f>
        <v>5193.4</v>
      </c>
      <c r="H465" s="8">
        <f>H466</f>
        <v>2358.4</v>
      </c>
    </row>
    <row r="466" spans="1:8" ht="30" outlineLevel="1">
      <c r="A466" s="15" t="s">
        <v>329</v>
      </c>
      <c r="B466" s="14" t="s">
        <v>274</v>
      </c>
      <c r="C466" s="7" t="s">
        <v>224</v>
      </c>
      <c r="D466" s="7" t="s">
        <v>193</v>
      </c>
      <c r="E466" s="7" t="s">
        <v>77</v>
      </c>
      <c r="F466" s="7"/>
      <c r="G466" s="8">
        <f>G467</f>
        <v>5193.4</v>
      </c>
      <c r="H466" s="8">
        <f>H467</f>
        <v>2358.4</v>
      </c>
    </row>
    <row r="467" spans="1:8" ht="15" customHeight="1" outlineLevel="1">
      <c r="A467" s="15" t="s">
        <v>187</v>
      </c>
      <c r="B467" s="14" t="s">
        <v>274</v>
      </c>
      <c r="C467" s="7" t="s">
        <v>224</v>
      </c>
      <c r="D467" s="7" t="s">
        <v>193</v>
      </c>
      <c r="E467" s="7" t="s">
        <v>77</v>
      </c>
      <c r="F467" s="7" t="s">
        <v>490</v>
      </c>
      <c r="G467" s="8">
        <f>G468+G469</f>
        <v>5193.4</v>
      </c>
      <c r="H467" s="8">
        <f>H468+H469</f>
        <v>2358.4</v>
      </c>
    </row>
    <row r="468" spans="1:8" ht="60" outlineLevel="1">
      <c r="A468" s="15" t="s">
        <v>492</v>
      </c>
      <c r="B468" s="14" t="s">
        <v>274</v>
      </c>
      <c r="C468" s="7" t="s">
        <v>224</v>
      </c>
      <c r="D468" s="7" t="s">
        <v>193</v>
      </c>
      <c r="E468" s="7" t="s">
        <v>235</v>
      </c>
      <c r="F468" s="7" t="s">
        <v>491</v>
      </c>
      <c r="G468" s="8">
        <v>3230.4</v>
      </c>
      <c r="H468" s="8">
        <f>1493.3</f>
        <v>1493.3</v>
      </c>
    </row>
    <row r="469" spans="1:8" ht="30" outlineLevel="1">
      <c r="A469" s="15" t="s">
        <v>489</v>
      </c>
      <c r="B469" s="14" t="s">
        <v>274</v>
      </c>
      <c r="C469" s="7" t="s">
        <v>224</v>
      </c>
      <c r="D469" s="7" t="s">
        <v>193</v>
      </c>
      <c r="E469" s="7" t="s">
        <v>236</v>
      </c>
      <c r="F469" s="7" t="s">
        <v>488</v>
      </c>
      <c r="G469" s="8">
        <v>1963</v>
      </c>
      <c r="H469" s="8">
        <f>865.1</f>
        <v>865.1</v>
      </c>
    </row>
    <row r="470" spans="1:8" ht="15" customHeight="1" outlineLevel="1">
      <c r="A470" s="11" t="s">
        <v>437</v>
      </c>
      <c r="B470" s="14" t="s">
        <v>274</v>
      </c>
      <c r="C470" s="7" t="s">
        <v>224</v>
      </c>
      <c r="D470" s="7" t="s">
        <v>193</v>
      </c>
      <c r="E470" s="7" t="s">
        <v>438</v>
      </c>
      <c r="F470" s="7"/>
      <c r="G470" s="8">
        <f>G471</f>
        <v>20473</v>
      </c>
      <c r="H470" s="8">
        <f>H471</f>
        <v>10737.099999999999</v>
      </c>
    </row>
    <row r="471" spans="1:8" ht="46.5" customHeight="1" outlineLevel="1">
      <c r="A471" s="15" t="s">
        <v>330</v>
      </c>
      <c r="B471" s="14" t="s">
        <v>274</v>
      </c>
      <c r="C471" s="7" t="s">
        <v>224</v>
      </c>
      <c r="D471" s="7" t="s">
        <v>193</v>
      </c>
      <c r="E471" s="7" t="s">
        <v>78</v>
      </c>
      <c r="F471" s="7"/>
      <c r="G471" s="8">
        <f>G472</f>
        <v>20473</v>
      </c>
      <c r="H471" s="8">
        <f>H472</f>
        <v>10737.099999999999</v>
      </c>
    </row>
    <row r="472" spans="1:8" ht="15" customHeight="1" outlineLevel="1">
      <c r="A472" s="15" t="s">
        <v>187</v>
      </c>
      <c r="B472" s="14" t="s">
        <v>274</v>
      </c>
      <c r="C472" s="7" t="s">
        <v>224</v>
      </c>
      <c r="D472" s="7" t="s">
        <v>193</v>
      </c>
      <c r="E472" s="7" t="s">
        <v>78</v>
      </c>
      <c r="F472" s="7" t="s">
        <v>490</v>
      </c>
      <c r="G472" s="8">
        <f>G473+G474</f>
        <v>20473</v>
      </c>
      <c r="H472" s="8">
        <f>H473+H474</f>
        <v>10737.099999999999</v>
      </c>
    </row>
    <row r="473" spans="1:8" ht="60" outlineLevel="1">
      <c r="A473" s="15" t="s">
        <v>492</v>
      </c>
      <c r="B473" s="14" t="s">
        <v>274</v>
      </c>
      <c r="C473" s="7" t="s">
        <v>224</v>
      </c>
      <c r="D473" s="7" t="s">
        <v>193</v>
      </c>
      <c r="E473" s="7" t="s">
        <v>237</v>
      </c>
      <c r="F473" s="7" t="s">
        <v>491</v>
      </c>
      <c r="G473" s="8">
        <v>18030.4</v>
      </c>
      <c r="H473" s="8">
        <f>9729.3</f>
        <v>9729.3</v>
      </c>
    </row>
    <row r="474" spans="1:8" ht="30" outlineLevel="1">
      <c r="A474" s="15" t="s">
        <v>489</v>
      </c>
      <c r="B474" s="14" t="s">
        <v>274</v>
      </c>
      <c r="C474" s="7" t="s">
        <v>224</v>
      </c>
      <c r="D474" s="7" t="s">
        <v>193</v>
      </c>
      <c r="E474" s="7" t="s">
        <v>238</v>
      </c>
      <c r="F474" s="7" t="s">
        <v>488</v>
      </c>
      <c r="G474" s="8">
        <f>2050+392.6</f>
        <v>2442.6</v>
      </c>
      <c r="H474" s="8">
        <f>1007.8</f>
        <v>1007.8</v>
      </c>
    </row>
    <row r="475" spans="1:8" ht="30" outlineLevel="1">
      <c r="A475" s="11" t="s">
        <v>239</v>
      </c>
      <c r="B475" s="14" t="s">
        <v>274</v>
      </c>
      <c r="C475" s="7" t="s">
        <v>224</v>
      </c>
      <c r="D475" s="7" t="s">
        <v>193</v>
      </c>
      <c r="E475" s="7" t="s">
        <v>79</v>
      </c>
      <c r="F475" s="7"/>
      <c r="G475" s="8">
        <f>G476</f>
        <v>1626</v>
      </c>
      <c r="H475" s="8">
        <f>H476</f>
        <v>1059</v>
      </c>
    </row>
    <row r="476" spans="1:8" ht="27" customHeight="1" outlineLevel="1">
      <c r="A476" s="11" t="s">
        <v>291</v>
      </c>
      <c r="B476" s="14" t="s">
        <v>274</v>
      </c>
      <c r="C476" s="7" t="s">
        <v>224</v>
      </c>
      <c r="D476" s="7" t="s">
        <v>193</v>
      </c>
      <c r="E476" s="7" t="s">
        <v>146</v>
      </c>
      <c r="F476" s="7"/>
      <c r="G476" s="8">
        <f>G478+G480+G482+G484+G486+G488+G490</f>
        <v>1626</v>
      </c>
      <c r="H476" s="8">
        <f>H478+H480+H482+H484+H486+H488+H490</f>
        <v>1059</v>
      </c>
    </row>
    <row r="477" spans="1:8" ht="57.75" customHeight="1" outlineLevel="1">
      <c r="A477" s="11" t="s">
        <v>415</v>
      </c>
      <c r="B477" s="14" t="s">
        <v>274</v>
      </c>
      <c r="C477" s="7" t="s">
        <v>224</v>
      </c>
      <c r="D477" s="7" t="s">
        <v>193</v>
      </c>
      <c r="E477" s="7" t="s">
        <v>149</v>
      </c>
      <c r="F477" s="7"/>
      <c r="G477" s="8">
        <f>G478</f>
        <v>225</v>
      </c>
      <c r="H477" s="8">
        <f>H478</f>
        <v>210</v>
      </c>
    </row>
    <row r="478" spans="1:8" ht="30" outlineLevel="1">
      <c r="A478" s="15" t="s">
        <v>489</v>
      </c>
      <c r="B478" s="14" t="s">
        <v>274</v>
      </c>
      <c r="C478" s="7" t="s">
        <v>224</v>
      </c>
      <c r="D478" s="7" t="s">
        <v>193</v>
      </c>
      <c r="E478" s="7" t="s">
        <v>149</v>
      </c>
      <c r="F478" s="7" t="s">
        <v>488</v>
      </c>
      <c r="G478" s="8">
        <v>225</v>
      </c>
      <c r="H478" s="8">
        <f>210</f>
        <v>210</v>
      </c>
    </row>
    <row r="479" spans="1:8" ht="30" outlineLevel="1">
      <c r="A479" s="11" t="s">
        <v>416</v>
      </c>
      <c r="B479" s="14" t="s">
        <v>274</v>
      </c>
      <c r="C479" s="7" t="s">
        <v>224</v>
      </c>
      <c r="D479" s="7" t="s">
        <v>193</v>
      </c>
      <c r="E479" s="7" t="s">
        <v>150</v>
      </c>
      <c r="F479" s="7"/>
      <c r="G479" s="8">
        <f>G480</f>
        <v>221.5</v>
      </c>
      <c r="H479" s="8">
        <f>H480</f>
        <v>205.6</v>
      </c>
    </row>
    <row r="480" spans="1:8" ht="30" outlineLevel="1">
      <c r="A480" s="15" t="s">
        <v>489</v>
      </c>
      <c r="B480" s="14" t="s">
        <v>274</v>
      </c>
      <c r="C480" s="7" t="s">
        <v>224</v>
      </c>
      <c r="D480" s="7" t="s">
        <v>193</v>
      </c>
      <c r="E480" s="7" t="s">
        <v>150</v>
      </c>
      <c r="F480" s="7" t="s">
        <v>488</v>
      </c>
      <c r="G480" s="8">
        <v>221.5</v>
      </c>
      <c r="H480" s="8">
        <f>205.6</f>
        <v>205.6</v>
      </c>
    </row>
    <row r="481" spans="1:8" ht="30" outlineLevel="1">
      <c r="A481" s="11" t="s">
        <v>420</v>
      </c>
      <c r="B481" s="14" t="s">
        <v>274</v>
      </c>
      <c r="C481" s="7" t="s">
        <v>224</v>
      </c>
      <c r="D481" s="7" t="s">
        <v>193</v>
      </c>
      <c r="E481" s="7" t="s">
        <v>151</v>
      </c>
      <c r="F481" s="7"/>
      <c r="G481" s="8">
        <f>G482</f>
        <v>277.8</v>
      </c>
      <c r="H481" s="8">
        <f>H482</f>
        <v>146.6</v>
      </c>
    </row>
    <row r="482" spans="1:8" ht="30" outlineLevel="1">
      <c r="A482" s="15" t="s">
        <v>489</v>
      </c>
      <c r="B482" s="14" t="s">
        <v>274</v>
      </c>
      <c r="C482" s="7" t="s">
        <v>224</v>
      </c>
      <c r="D482" s="7" t="s">
        <v>193</v>
      </c>
      <c r="E482" s="7" t="s">
        <v>151</v>
      </c>
      <c r="F482" s="7" t="s">
        <v>488</v>
      </c>
      <c r="G482" s="8">
        <v>277.8</v>
      </c>
      <c r="H482" s="8">
        <f>146.6</f>
        <v>146.6</v>
      </c>
    </row>
    <row r="483" spans="1:8" ht="30" outlineLevel="1">
      <c r="A483" s="11" t="s">
        <v>421</v>
      </c>
      <c r="B483" s="14" t="s">
        <v>274</v>
      </c>
      <c r="C483" s="7" t="s">
        <v>224</v>
      </c>
      <c r="D483" s="7" t="s">
        <v>193</v>
      </c>
      <c r="E483" s="7" t="s">
        <v>152</v>
      </c>
      <c r="F483" s="7"/>
      <c r="G483" s="8">
        <f>G484</f>
        <v>333.2</v>
      </c>
      <c r="H483" s="8">
        <f>H484</f>
        <v>40</v>
      </c>
    </row>
    <row r="484" spans="1:8" ht="30" outlineLevel="1">
      <c r="A484" s="15" t="s">
        <v>489</v>
      </c>
      <c r="B484" s="14" t="s">
        <v>274</v>
      </c>
      <c r="C484" s="7" t="s">
        <v>224</v>
      </c>
      <c r="D484" s="7" t="s">
        <v>193</v>
      </c>
      <c r="E484" s="7" t="s">
        <v>152</v>
      </c>
      <c r="F484" s="7" t="s">
        <v>488</v>
      </c>
      <c r="G484" s="8">
        <v>333.2</v>
      </c>
      <c r="H484" s="8">
        <f>40</f>
        <v>40</v>
      </c>
    </row>
    <row r="485" spans="1:8" ht="29.25" customHeight="1" outlineLevel="1">
      <c r="A485" s="11" t="s">
        <v>422</v>
      </c>
      <c r="B485" s="14" t="s">
        <v>274</v>
      </c>
      <c r="C485" s="7" t="s">
        <v>224</v>
      </c>
      <c r="D485" s="7" t="s">
        <v>193</v>
      </c>
      <c r="E485" s="7" t="s">
        <v>153</v>
      </c>
      <c r="F485" s="7"/>
      <c r="G485" s="8">
        <f>G486</f>
        <v>100</v>
      </c>
      <c r="H485" s="8">
        <f>H486</f>
        <v>54.8</v>
      </c>
    </row>
    <row r="486" spans="1:8" ht="30" outlineLevel="1">
      <c r="A486" s="15" t="s">
        <v>489</v>
      </c>
      <c r="B486" s="14" t="s">
        <v>274</v>
      </c>
      <c r="C486" s="7" t="s">
        <v>224</v>
      </c>
      <c r="D486" s="7" t="s">
        <v>193</v>
      </c>
      <c r="E486" s="7" t="s">
        <v>153</v>
      </c>
      <c r="F486" s="7" t="s">
        <v>488</v>
      </c>
      <c r="G486" s="8">
        <v>100</v>
      </c>
      <c r="H486" s="8">
        <f>54.8</f>
        <v>54.8</v>
      </c>
    </row>
    <row r="487" spans="1:8" ht="45" customHeight="1" outlineLevel="1">
      <c r="A487" s="11" t="s">
        <v>423</v>
      </c>
      <c r="B487" s="14" t="s">
        <v>274</v>
      </c>
      <c r="C487" s="7" t="s">
        <v>224</v>
      </c>
      <c r="D487" s="7" t="s">
        <v>193</v>
      </c>
      <c r="E487" s="7" t="s">
        <v>154</v>
      </c>
      <c r="F487" s="7"/>
      <c r="G487" s="8">
        <f>G488</f>
        <v>43.5</v>
      </c>
      <c r="H487" s="8">
        <f>H488</f>
        <v>19</v>
      </c>
    </row>
    <row r="488" spans="1:8" ht="30" outlineLevel="1">
      <c r="A488" s="15" t="s">
        <v>489</v>
      </c>
      <c r="B488" s="14" t="s">
        <v>274</v>
      </c>
      <c r="C488" s="7" t="s">
        <v>224</v>
      </c>
      <c r="D488" s="7" t="s">
        <v>193</v>
      </c>
      <c r="E488" s="7" t="s">
        <v>154</v>
      </c>
      <c r="F488" s="7" t="s">
        <v>488</v>
      </c>
      <c r="G488" s="8">
        <v>43.5</v>
      </c>
      <c r="H488" s="8">
        <f>19</f>
        <v>19</v>
      </c>
    </row>
    <row r="489" spans="1:8" ht="44.25" customHeight="1" outlineLevel="1">
      <c r="A489" s="11" t="s">
        <v>424</v>
      </c>
      <c r="B489" s="14" t="s">
        <v>274</v>
      </c>
      <c r="C489" s="7" t="s">
        <v>224</v>
      </c>
      <c r="D489" s="7" t="s">
        <v>193</v>
      </c>
      <c r="E489" s="7" t="s">
        <v>155</v>
      </c>
      <c r="F489" s="7"/>
      <c r="G489" s="8">
        <f>G490</f>
        <v>425</v>
      </c>
      <c r="H489" s="8">
        <f>H490</f>
        <v>383</v>
      </c>
    </row>
    <row r="490" spans="1:8" ht="30" outlineLevel="1">
      <c r="A490" s="15" t="s">
        <v>489</v>
      </c>
      <c r="B490" s="14" t="s">
        <v>274</v>
      </c>
      <c r="C490" s="7" t="s">
        <v>224</v>
      </c>
      <c r="D490" s="7" t="s">
        <v>193</v>
      </c>
      <c r="E490" s="7" t="s">
        <v>155</v>
      </c>
      <c r="F490" s="7" t="s">
        <v>488</v>
      </c>
      <c r="G490" s="8">
        <v>425</v>
      </c>
      <c r="H490" s="8">
        <f>383</f>
        <v>383</v>
      </c>
    </row>
    <row r="491" spans="1:8" ht="30" customHeight="1" hidden="1" outlineLevel="1">
      <c r="A491" s="15" t="s">
        <v>241</v>
      </c>
      <c r="B491" s="14" t="s">
        <v>274</v>
      </c>
      <c r="C491" s="7" t="s">
        <v>224</v>
      </c>
      <c r="D491" s="7" t="s">
        <v>193</v>
      </c>
      <c r="E491" s="7" t="s">
        <v>150</v>
      </c>
      <c r="F491" s="7"/>
      <c r="G491" s="8">
        <f>G492</f>
        <v>0</v>
      </c>
      <c r="H491" s="8">
        <f>H492</f>
        <v>0</v>
      </c>
    </row>
    <row r="492" spans="1:8" ht="15.75" customHeight="1" hidden="1" outlineLevel="1">
      <c r="A492" s="11" t="s">
        <v>223</v>
      </c>
      <c r="B492" s="14" t="s">
        <v>274</v>
      </c>
      <c r="C492" s="7" t="s">
        <v>224</v>
      </c>
      <c r="D492" s="7" t="s">
        <v>193</v>
      </c>
      <c r="E492" s="7" t="s">
        <v>150</v>
      </c>
      <c r="F492" s="7" t="s">
        <v>188</v>
      </c>
      <c r="G492" s="8">
        <v>0</v>
      </c>
      <c r="H492" s="8">
        <v>0</v>
      </c>
    </row>
    <row r="493" spans="1:8" ht="30" customHeight="1" hidden="1" outlineLevel="1">
      <c r="A493" s="15" t="s">
        <v>242</v>
      </c>
      <c r="B493" s="14" t="s">
        <v>274</v>
      </c>
      <c r="C493" s="7" t="s">
        <v>224</v>
      </c>
      <c r="D493" s="7" t="s">
        <v>193</v>
      </c>
      <c r="E493" s="7" t="s">
        <v>151</v>
      </c>
      <c r="F493" s="7"/>
      <c r="G493" s="8">
        <f>G494</f>
        <v>0</v>
      </c>
      <c r="H493" s="8">
        <f>H494</f>
        <v>0</v>
      </c>
    </row>
    <row r="494" spans="1:8" ht="15.75" customHeight="1" hidden="1" outlineLevel="1">
      <c r="A494" s="11" t="s">
        <v>223</v>
      </c>
      <c r="B494" s="14" t="s">
        <v>274</v>
      </c>
      <c r="C494" s="7" t="s">
        <v>224</v>
      </c>
      <c r="D494" s="7" t="s">
        <v>193</v>
      </c>
      <c r="E494" s="7" t="s">
        <v>151</v>
      </c>
      <c r="F494" s="7" t="s">
        <v>188</v>
      </c>
      <c r="G494" s="8">
        <v>0</v>
      </c>
      <c r="H494" s="8">
        <v>0</v>
      </c>
    </row>
    <row r="495" spans="1:8" ht="45" customHeight="1" hidden="1" outlineLevel="1">
      <c r="A495" s="15" t="s">
        <v>243</v>
      </c>
      <c r="B495" s="14" t="s">
        <v>274</v>
      </c>
      <c r="C495" s="7" t="s">
        <v>224</v>
      </c>
      <c r="D495" s="7" t="s">
        <v>193</v>
      </c>
      <c r="E495" s="7" t="s">
        <v>152</v>
      </c>
      <c r="F495" s="7"/>
      <c r="G495" s="8">
        <f>G496</f>
        <v>0</v>
      </c>
      <c r="H495" s="8">
        <f>H496</f>
        <v>0</v>
      </c>
    </row>
    <row r="496" spans="1:8" ht="15.75" customHeight="1" hidden="1" outlineLevel="1">
      <c r="A496" s="11" t="s">
        <v>223</v>
      </c>
      <c r="B496" s="14" t="s">
        <v>274</v>
      </c>
      <c r="C496" s="7" t="s">
        <v>224</v>
      </c>
      <c r="D496" s="7" t="s">
        <v>193</v>
      </c>
      <c r="E496" s="7" t="s">
        <v>152</v>
      </c>
      <c r="F496" s="7" t="s">
        <v>188</v>
      </c>
      <c r="G496" s="8">
        <v>0</v>
      </c>
      <c r="H496" s="8">
        <v>0</v>
      </c>
    </row>
    <row r="497" spans="1:8" ht="15.75" customHeight="1" hidden="1" outlineLevel="1">
      <c r="A497" s="15" t="s">
        <v>244</v>
      </c>
      <c r="B497" s="14" t="s">
        <v>274</v>
      </c>
      <c r="C497" s="7" t="s">
        <v>224</v>
      </c>
      <c r="D497" s="7" t="s">
        <v>193</v>
      </c>
      <c r="E497" s="7" t="s">
        <v>153</v>
      </c>
      <c r="F497" s="7"/>
      <c r="G497" s="8">
        <f>G498</f>
        <v>0</v>
      </c>
      <c r="H497" s="8">
        <f>H498</f>
        <v>0</v>
      </c>
    </row>
    <row r="498" spans="1:8" ht="15.75" customHeight="1" hidden="1" outlineLevel="1">
      <c r="A498" s="11" t="s">
        <v>223</v>
      </c>
      <c r="B498" s="14" t="s">
        <v>274</v>
      </c>
      <c r="C498" s="7" t="s">
        <v>224</v>
      </c>
      <c r="D498" s="7" t="s">
        <v>193</v>
      </c>
      <c r="E498" s="7" t="s">
        <v>153</v>
      </c>
      <c r="F498" s="7" t="s">
        <v>188</v>
      </c>
      <c r="G498" s="8">
        <v>0</v>
      </c>
      <c r="H498" s="8">
        <v>0</v>
      </c>
    </row>
    <row r="499" spans="1:8" ht="30" customHeight="1" hidden="1" outlineLevel="1">
      <c r="A499" s="15" t="s">
        <v>295</v>
      </c>
      <c r="B499" s="14" t="s">
        <v>274</v>
      </c>
      <c r="C499" s="7" t="s">
        <v>224</v>
      </c>
      <c r="D499" s="7" t="s">
        <v>193</v>
      </c>
      <c r="E499" s="7" t="s">
        <v>154</v>
      </c>
      <c r="F499" s="7"/>
      <c r="G499" s="8">
        <f>G500</f>
        <v>0</v>
      </c>
      <c r="H499" s="8">
        <f>H500</f>
        <v>0</v>
      </c>
    </row>
    <row r="500" spans="1:8" ht="15.75" customHeight="1" hidden="1" outlineLevel="1">
      <c r="A500" s="11" t="s">
        <v>223</v>
      </c>
      <c r="B500" s="14" t="s">
        <v>274</v>
      </c>
      <c r="C500" s="7" t="s">
        <v>224</v>
      </c>
      <c r="D500" s="7" t="s">
        <v>193</v>
      </c>
      <c r="E500" s="7" t="s">
        <v>154</v>
      </c>
      <c r="F500" s="7" t="s">
        <v>188</v>
      </c>
      <c r="G500" s="8">
        <v>0</v>
      </c>
      <c r="H500" s="8">
        <v>0</v>
      </c>
    </row>
    <row r="501" spans="1:8" ht="15.75" customHeight="1" hidden="1" outlineLevel="1">
      <c r="A501" s="15" t="s">
        <v>299</v>
      </c>
      <c r="B501" s="14" t="s">
        <v>274</v>
      </c>
      <c r="C501" s="7" t="s">
        <v>224</v>
      </c>
      <c r="D501" s="7" t="s">
        <v>193</v>
      </c>
      <c r="E501" s="7" t="s">
        <v>155</v>
      </c>
      <c r="F501" s="7"/>
      <c r="G501" s="8">
        <f>G502</f>
        <v>0</v>
      </c>
      <c r="H501" s="8">
        <f>H502</f>
        <v>0</v>
      </c>
    </row>
    <row r="502" spans="1:8" ht="15.75" customHeight="1" hidden="1" outlineLevel="1">
      <c r="A502" s="11" t="s">
        <v>223</v>
      </c>
      <c r="B502" s="14" t="s">
        <v>274</v>
      </c>
      <c r="C502" s="7" t="s">
        <v>224</v>
      </c>
      <c r="D502" s="7" t="s">
        <v>193</v>
      </c>
      <c r="E502" s="7" t="s">
        <v>155</v>
      </c>
      <c r="F502" s="7" t="s">
        <v>188</v>
      </c>
      <c r="G502" s="8">
        <v>0</v>
      </c>
      <c r="H502" s="8">
        <v>0</v>
      </c>
    </row>
    <row r="503" spans="1:8" ht="15.75" customHeight="1" hidden="1" outlineLevel="1">
      <c r="A503" s="15" t="s">
        <v>296</v>
      </c>
      <c r="B503" s="14" t="s">
        <v>274</v>
      </c>
      <c r="C503" s="7" t="s">
        <v>224</v>
      </c>
      <c r="D503" s="7" t="s">
        <v>193</v>
      </c>
      <c r="E503" s="7" t="s">
        <v>156</v>
      </c>
      <c r="F503" s="7"/>
      <c r="G503" s="8">
        <f>G504</f>
        <v>0</v>
      </c>
      <c r="H503" s="8">
        <f>H504</f>
        <v>0</v>
      </c>
    </row>
    <row r="504" spans="1:8" s="2" customFormat="1" ht="15.75" customHeight="1" hidden="1" outlineLevel="1">
      <c r="A504" s="11" t="s">
        <v>223</v>
      </c>
      <c r="B504" s="14" t="s">
        <v>274</v>
      </c>
      <c r="C504" s="7" t="s">
        <v>224</v>
      </c>
      <c r="D504" s="7" t="s">
        <v>193</v>
      </c>
      <c r="E504" s="7" t="s">
        <v>156</v>
      </c>
      <c r="F504" s="7" t="s">
        <v>188</v>
      </c>
      <c r="G504" s="8">
        <v>0</v>
      </c>
      <c r="H504" s="8">
        <v>0</v>
      </c>
    </row>
    <row r="505" spans="1:8" ht="30" customHeight="1" hidden="1" outlineLevel="1">
      <c r="A505" s="15" t="s">
        <v>297</v>
      </c>
      <c r="B505" s="14" t="s">
        <v>274</v>
      </c>
      <c r="C505" s="7" t="s">
        <v>224</v>
      </c>
      <c r="D505" s="7" t="s">
        <v>193</v>
      </c>
      <c r="E505" s="7" t="s">
        <v>157</v>
      </c>
      <c r="F505" s="7"/>
      <c r="G505" s="8">
        <f>G506</f>
        <v>0</v>
      </c>
      <c r="H505" s="8">
        <f>H506</f>
        <v>0</v>
      </c>
    </row>
    <row r="506" spans="1:8" ht="15.75" customHeight="1" hidden="1" outlineLevel="1">
      <c r="A506" s="11" t="s">
        <v>223</v>
      </c>
      <c r="B506" s="14" t="s">
        <v>274</v>
      </c>
      <c r="C506" s="7" t="s">
        <v>224</v>
      </c>
      <c r="D506" s="7" t="s">
        <v>193</v>
      </c>
      <c r="E506" s="7" t="s">
        <v>157</v>
      </c>
      <c r="F506" s="7" t="s">
        <v>188</v>
      </c>
      <c r="G506" s="8">
        <v>0</v>
      </c>
      <c r="H506" s="8">
        <v>0</v>
      </c>
    </row>
    <row r="507" spans="1:8" ht="15.75" customHeight="1" hidden="1" outlineLevel="1">
      <c r="A507" s="15" t="s">
        <v>298</v>
      </c>
      <c r="B507" s="14" t="s">
        <v>274</v>
      </c>
      <c r="C507" s="7" t="s">
        <v>224</v>
      </c>
      <c r="D507" s="7" t="s">
        <v>193</v>
      </c>
      <c r="E507" s="7" t="s">
        <v>158</v>
      </c>
      <c r="F507" s="7"/>
      <c r="G507" s="8">
        <f>G508</f>
        <v>0</v>
      </c>
      <c r="H507" s="8">
        <f>H508</f>
        <v>0</v>
      </c>
    </row>
    <row r="508" spans="1:8" ht="15.75" customHeight="1" hidden="1" outlineLevel="1">
      <c r="A508" s="11" t="s">
        <v>223</v>
      </c>
      <c r="B508" s="14" t="s">
        <v>274</v>
      </c>
      <c r="C508" s="7" t="s">
        <v>224</v>
      </c>
      <c r="D508" s="7" t="s">
        <v>193</v>
      </c>
      <c r="E508" s="7" t="s">
        <v>158</v>
      </c>
      <c r="F508" s="7" t="s">
        <v>188</v>
      </c>
      <c r="G508" s="8">
        <v>0</v>
      </c>
      <c r="H508" s="8">
        <v>0</v>
      </c>
    </row>
    <row r="509" spans="1:8" ht="63" customHeight="1" hidden="1" outlineLevel="1">
      <c r="A509" s="11" t="s">
        <v>362</v>
      </c>
      <c r="B509" s="14" t="s">
        <v>274</v>
      </c>
      <c r="C509" s="7" t="s">
        <v>224</v>
      </c>
      <c r="D509" s="7" t="s">
        <v>193</v>
      </c>
      <c r="E509" s="7" t="s">
        <v>363</v>
      </c>
      <c r="F509" s="7"/>
      <c r="G509" s="8">
        <f>G510+G512</f>
        <v>0</v>
      </c>
      <c r="H509" s="8">
        <f>H510+H512</f>
        <v>0</v>
      </c>
    </row>
    <row r="510" spans="1:8" ht="60" customHeight="1" hidden="1" outlineLevel="1">
      <c r="A510" s="11" t="s">
        <v>357</v>
      </c>
      <c r="B510" s="14" t="s">
        <v>274</v>
      </c>
      <c r="C510" s="7" t="s">
        <v>224</v>
      </c>
      <c r="D510" s="7" t="s">
        <v>193</v>
      </c>
      <c r="E510" s="7" t="s">
        <v>359</v>
      </c>
      <c r="F510" s="7"/>
      <c r="G510" s="8">
        <f>G511</f>
        <v>0</v>
      </c>
      <c r="H510" s="8">
        <f>H511</f>
        <v>0</v>
      </c>
    </row>
    <row r="511" spans="1:8" ht="15.75" customHeight="1" hidden="1" outlineLevel="1">
      <c r="A511" s="11" t="s">
        <v>361</v>
      </c>
      <c r="B511" s="14" t="s">
        <v>274</v>
      </c>
      <c r="C511" s="7" t="s">
        <v>224</v>
      </c>
      <c r="D511" s="7" t="s">
        <v>193</v>
      </c>
      <c r="E511" s="7" t="s">
        <v>359</v>
      </c>
      <c r="F511" s="7" t="s">
        <v>188</v>
      </c>
      <c r="G511" s="8">
        <v>0</v>
      </c>
      <c r="H511" s="8">
        <v>0</v>
      </c>
    </row>
    <row r="512" spans="1:8" ht="60" customHeight="1" hidden="1" outlineLevel="1">
      <c r="A512" s="11" t="s">
        <v>358</v>
      </c>
      <c r="B512" s="14" t="s">
        <v>274</v>
      </c>
      <c r="C512" s="7" t="s">
        <v>224</v>
      </c>
      <c r="D512" s="7" t="s">
        <v>193</v>
      </c>
      <c r="E512" s="7" t="s">
        <v>360</v>
      </c>
      <c r="F512" s="7"/>
      <c r="G512" s="8">
        <f>G513</f>
        <v>0</v>
      </c>
      <c r="H512" s="8">
        <f>H513</f>
        <v>0</v>
      </c>
    </row>
    <row r="513" spans="1:8" ht="15.75" customHeight="1" hidden="1" outlineLevel="1">
      <c r="A513" s="11" t="s">
        <v>361</v>
      </c>
      <c r="B513" s="14" t="s">
        <v>274</v>
      </c>
      <c r="C513" s="7" t="s">
        <v>224</v>
      </c>
      <c r="D513" s="7" t="s">
        <v>193</v>
      </c>
      <c r="E513" s="7" t="s">
        <v>360</v>
      </c>
      <c r="F513" s="7" t="s">
        <v>188</v>
      </c>
      <c r="G513" s="8">
        <v>0</v>
      </c>
      <c r="H513" s="8">
        <v>0</v>
      </c>
    </row>
    <row r="514" spans="1:8" ht="45" customHeight="1" hidden="1" outlineLevel="1">
      <c r="A514" s="11" t="s">
        <v>372</v>
      </c>
      <c r="B514" s="14" t="s">
        <v>274</v>
      </c>
      <c r="C514" s="7" t="s">
        <v>224</v>
      </c>
      <c r="D514" s="7" t="s">
        <v>193</v>
      </c>
      <c r="E514" s="7" t="s">
        <v>373</v>
      </c>
      <c r="F514" s="7"/>
      <c r="G514" s="8">
        <f>G515</f>
        <v>0</v>
      </c>
      <c r="H514" s="8">
        <f>H515</f>
        <v>0</v>
      </c>
    </row>
    <row r="515" spans="1:8" ht="15.75" customHeight="1" hidden="1" outlineLevel="1">
      <c r="A515" s="11" t="s">
        <v>187</v>
      </c>
      <c r="B515" s="14" t="s">
        <v>274</v>
      </c>
      <c r="C515" s="7" t="s">
        <v>224</v>
      </c>
      <c r="D515" s="7" t="s">
        <v>193</v>
      </c>
      <c r="E515" s="7" t="s">
        <v>373</v>
      </c>
      <c r="F515" s="7" t="s">
        <v>188</v>
      </c>
      <c r="G515" s="8">
        <v>0</v>
      </c>
      <c r="H515" s="8">
        <v>0</v>
      </c>
    </row>
    <row r="516" spans="1:8" ht="30" outlineLevel="1">
      <c r="A516" s="11" t="s">
        <v>451</v>
      </c>
      <c r="B516" s="14" t="s">
        <v>274</v>
      </c>
      <c r="C516" s="7" t="s">
        <v>224</v>
      </c>
      <c r="D516" s="7" t="s">
        <v>193</v>
      </c>
      <c r="E516" s="7" t="s">
        <v>450</v>
      </c>
      <c r="F516" s="7"/>
      <c r="G516" s="8">
        <f>G517</f>
        <v>57500</v>
      </c>
      <c r="H516" s="8">
        <f>H517</f>
        <v>0</v>
      </c>
    </row>
    <row r="517" spans="1:8" ht="60" outlineLevel="1">
      <c r="A517" s="11" t="s">
        <v>529</v>
      </c>
      <c r="B517" s="14" t="s">
        <v>274</v>
      </c>
      <c r="C517" s="7" t="s">
        <v>224</v>
      </c>
      <c r="D517" s="7" t="s">
        <v>193</v>
      </c>
      <c r="E517" s="7" t="s">
        <v>343</v>
      </c>
      <c r="F517" s="7"/>
      <c r="G517" s="8">
        <f>G518+G520</f>
        <v>57500</v>
      </c>
      <c r="H517" s="8">
        <f>H518+H520</f>
        <v>0</v>
      </c>
    </row>
    <row r="518" spans="1:8" ht="75" outlineLevel="1">
      <c r="A518" s="11" t="s">
        <v>530</v>
      </c>
      <c r="B518" s="14" t="s">
        <v>274</v>
      </c>
      <c r="C518" s="7" t="s">
        <v>224</v>
      </c>
      <c r="D518" s="7" t="s">
        <v>193</v>
      </c>
      <c r="E518" s="7" t="s">
        <v>344</v>
      </c>
      <c r="F518" s="7"/>
      <c r="G518" s="8">
        <f>G519</f>
        <v>57500</v>
      </c>
      <c r="H518" s="8">
        <f>H519</f>
        <v>0</v>
      </c>
    </row>
    <row r="519" spans="1:8" ht="15.75" outlineLevel="1">
      <c r="A519" s="11" t="s">
        <v>187</v>
      </c>
      <c r="B519" s="14" t="s">
        <v>274</v>
      </c>
      <c r="C519" s="7" t="s">
        <v>224</v>
      </c>
      <c r="D519" s="7" t="s">
        <v>193</v>
      </c>
      <c r="E519" s="7" t="s">
        <v>344</v>
      </c>
      <c r="F519" s="7" t="s">
        <v>488</v>
      </c>
      <c r="G519" s="8">
        <v>57500</v>
      </c>
      <c r="H519" s="8">
        <v>0</v>
      </c>
    </row>
    <row r="520" spans="1:8" ht="60" customHeight="1" hidden="1" outlineLevel="1">
      <c r="A520" s="11" t="s">
        <v>342</v>
      </c>
      <c r="B520" s="14" t="s">
        <v>274</v>
      </c>
      <c r="C520" s="7" t="s">
        <v>224</v>
      </c>
      <c r="D520" s="7" t="s">
        <v>193</v>
      </c>
      <c r="E520" s="7" t="s">
        <v>345</v>
      </c>
      <c r="F520" s="7"/>
      <c r="G520" s="8">
        <f>G521</f>
        <v>0</v>
      </c>
      <c r="H520" s="8">
        <f>H521</f>
        <v>0</v>
      </c>
    </row>
    <row r="521" spans="1:8" ht="15.75" customHeight="1" hidden="1" outlineLevel="1">
      <c r="A521" s="11" t="s">
        <v>187</v>
      </c>
      <c r="B521" s="14" t="s">
        <v>274</v>
      </c>
      <c r="C521" s="7" t="s">
        <v>224</v>
      </c>
      <c r="D521" s="7" t="s">
        <v>193</v>
      </c>
      <c r="E521" s="7" t="s">
        <v>345</v>
      </c>
      <c r="F521" s="7" t="s">
        <v>188</v>
      </c>
      <c r="G521" s="8">
        <v>0</v>
      </c>
      <c r="H521" s="8">
        <v>0</v>
      </c>
    </row>
    <row r="522" spans="1:8" ht="30" outlineLevel="1">
      <c r="A522" s="15" t="s">
        <v>206</v>
      </c>
      <c r="B522" s="14" t="s">
        <v>274</v>
      </c>
      <c r="C522" s="7" t="s">
        <v>224</v>
      </c>
      <c r="D522" s="7" t="s">
        <v>193</v>
      </c>
      <c r="E522" s="7" t="s">
        <v>33</v>
      </c>
      <c r="F522" s="7"/>
      <c r="G522" s="8">
        <f>G523</f>
        <v>67</v>
      </c>
      <c r="H522" s="8">
        <f>H523</f>
        <v>0</v>
      </c>
    </row>
    <row r="523" spans="1:8" ht="45" outlineLevel="1">
      <c r="A523" s="15" t="s">
        <v>448</v>
      </c>
      <c r="B523" s="14" t="s">
        <v>274</v>
      </c>
      <c r="C523" s="7" t="s">
        <v>224</v>
      </c>
      <c r="D523" s="7" t="s">
        <v>193</v>
      </c>
      <c r="E523" s="7" t="s">
        <v>449</v>
      </c>
      <c r="F523" s="7"/>
      <c r="G523" s="8">
        <f>G524</f>
        <v>67</v>
      </c>
      <c r="H523" s="8">
        <f>H524</f>
        <v>0</v>
      </c>
    </row>
    <row r="524" spans="1:8" ht="30" outlineLevel="1">
      <c r="A524" s="15" t="s">
        <v>489</v>
      </c>
      <c r="B524" s="14" t="s">
        <v>274</v>
      </c>
      <c r="C524" s="7" t="s">
        <v>224</v>
      </c>
      <c r="D524" s="7" t="s">
        <v>193</v>
      </c>
      <c r="E524" s="7" t="s">
        <v>449</v>
      </c>
      <c r="F524" s="7" t="s">
        <v>488</v>
      </c>
      <c r="G524" s="8">
        <f>20+20+27</f>
        <v>67</v>
      </c>
      <c r="H524" s="8">
        <v>0</v>
      </c>
    </row>
    <row r="525" spans="1:8" ht="34.5" customHeight="1" outlineLevel="1">
      <c r="A525" s="18" t="s">
        <v>247</v>
      </c>
      <c r="B525" s="14" t="s">
        <v>274</v>
      </c>
      <c r="C525" s="7" t="s">
        <v>224</v>
      </c>
      <c r="D525" s="7" t="s">
        <v>196</v>
      </c>
      <c r="E525" s="7"/>
      <c r="F525" s="7"/>
      <c r="G525" s="8">
        <f>G526</f>
        <v>4678.799999999999</v>
      </c>
      <c r="H525" s="8">
        <f>H526</f>
        <v>2097.4999999999995</v>
      </c>
    </row>
    <row r="526" spans="1:8" ht="30" outlineLevel="1">
      <c r="A526" s="15" t="s">
        <v>248</v>
      </c>
      <c r="B526" s="14" t="s">
        <v>274</v>
      </c>
      <c r="C526" s="7" t="s">
        <v>224</v>
      </c>
      <c r="D526" s="7" t="s">
        <v>196</v>
      </c>
      <c r="E526" s="7" t="s">
        <v>80</v>
      </c>
      <c r="F526" s="7"/>
      <c r="G526" s="8">
        <f>G527</f>
        <v>4678.799999999999</v>
      </c>
      <c r="H526" s="8">
        <f>H527</f>
        <v>2097.4999999999995</v>
      </c>
    </row>
    <row r="527" spans="1:8" ht="28.5" customHeight="1" outlineLevel="1">
      <c r="A527" s="15" t="s">
        <v>76</v>
      </c>
      <c r="B527" s="14" t="s">
        <v>274</v>
      </c>
      <c r="C527" s="7" t="s">
        <v>224</v>
      </c>
      <c r="D527" s="7" t="s">
        <v>196</v>
      </c>
      <c r="E527" s="7" t="s">
        <v>81</v>
      </c>
      <c r="F527" s="7"/>
      <c r="G527" s="8">
        <f>G528+G529+G530+G531+G532</f>
        <v>4678.799999999999</v>
      </c>
      <c r="H527" s="8">
        <f>H528+H529+H530+H531+H532</f>
        <v>2097.4999999999995</v>
      </c>
    </row>
    <row r="528" spans="1:8" ht="15.75" outlineLevel="1">
      <c r="A528" s="15" t="s">
        <v>494</v>
      </c>
      <c r="B528" s="14" t="s">
        <v>274</v>
      </c>
      <c r="C528" s="7" t="s">
        <v>224</v>
      </c>
      <c r="D528" s="7" t="s">
        <v>196</v>
      </c>
      <c r="E528" s="7" t="s">
        <v>81</v>
      </c>
      <c r="F528" s="7" t="s">
        <v>474</v>
      </c>
      <c r="G528" s="8">
        <v>4039.2</v>
      </c>
      <c r="H528" s="8">
        <f>1777.1</f>
        <v>1777.1</v>
      </c>
    </row>
    <row r="529" spans="1:8" ht="30" outlineLevel="1">
      <c r="A529" s="15" t="s">
        <v>469</v>
      </c>
      <c r="B529" s="14" t="s">
        <v>274</v>
      </c>
      <c r="C529" s="7" t="s">
        <v>224</v>
      </c>
      <c r="D529" s="7" t="s">
        <v>196</v>
      </c>
      <c r="E529" s="7" t="s">
        <v>81</v>
      </c>
      <c r="F529" s="7" t="s">
        <v>516</v>
      </c>
      <c r="G529" s="8">
        <v>0.1</v>
      </c>
      <c r="H529" s="8">
        <v>0.1</v>
      </c>
    </row>
    <row r="530" spans="1:8" ht="42.75" customHeight="1" outlineLevel="1">
      <c r="A530" s="15" t="s">
        <v>484</v>
      </c>
      <c r="B530" s="14" t="s">
        <v>274</v>
      </c>
      <c r="C530" s="7" t="s">
        <v>224</v>
      </c>
      <c r="D530" s="7" t="s">
        <v>196</v>
      </c>
      <c r="E530" s="7" t="s">
        <v>81</v>
      </c>
      <c r="F530" s="7" t="s">
        <v>483</v>
      </c>
      <c r="G530" s="8">
        <f>367.6-4.5</f>
        <v>363.1</v>
      </c>
      <c r="H530" s="8">
        <f>202.2</f>
        <v>202.2</v>
      </c>
    </row>
    <row r="531" spans="1:8" ht="30" outlineLevel="1">
      <c r="A531" s="15" t="s">
        <v>467</v>
      </c>
      <c r="B531" s="14" t="s">
        <v>274</v>
      </c>
      <c r="C531" s="7" t="s">
        <v>224</v>
      </c>
      <c r="D531" s="7" t="s">
        <v>196</v>
      </c>
      <c r="E531" s="7" t="s">
        <v>81</v>
      </c>
      <c r="F531" s="7" t="s">
        <v>466</v>
      </c>
      <c r="G531" s="8">
        <f>269.4+4.5</f>
        <v>273.9</v>
      </c>
      <c r="H531" s="8">
        <f>118</f>
        <v>118</v>
      </c>
    </row>
    <row r="532" spans="1:8" ht="28.5" customHeight="1" outlineLevel="1">
      <c r="A532" s="15" t="s">
        <v>473</v>
      </c>
      <c r="B532" s="14" t="s">
        <v>274</v>
      </c>
      <c r="C532" s="7" t="s">
        <v>224</v>
      </c>
      <c r="D532" s="7" t="s">
        <v>196</v>
      </c>
      <c r="E532" s="7" t="s">
        <v>81</v>
      </c>
      <c r="F532" s="7" t="s">
        <v>472</v>
      </c>
      <c r="G532" s="8">
        <v>2.5</v>
      </c>
      <c r="H532" s="8">
        <f>0.1</f>
        <v>0.1</v>
      </c>
    </row>
    <row r="533" spans="1:8" ht="18.75">
      <c r="A533" s="45" t="s">
        <v>282</v>
      </c>
      <c r="B533" s="46"/>
      <c r="C533" s="46"/>
      <c r="D533" s="46"/>
      <c r="E533" s="46"/>
      <c r="F533" s="46"/>
      <c r="G533" s="35">
        <f>G14+G43+G355+G415+G432</f>
        <v>834968.3</v>
      </c>
      <c r="H533" s="35">
        <f>H14+H43+H355+H415+H432</f>
        <v>202953</v>
      </c>
    </row>
  </sheetData>
  <mergeCells count="10">
    <mergeCell ref="C1:H1"/>
    <mergeCell ref="A2:H2"/>
    <mergeCell ref="A3:H3"/>
    <mergeCell ref="C4:H4"/>
    <mergeCell ref="A10:G10"/>
    <mergeCell ref="C5:H5"/>
    <mergeCell ref="A6:H6"/>
    <mergeCell ref="A7:H7"/>
    <mergeCell ref="C8:H8"/>
    <mergeCell ref="A9:H9"/>
  </mergeCells>
  <printOptions/>
  <pageMargins left="0.3937007874015748" right="0" top="0.1968503937007874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k391</cp:lastModifiedBy>
  <cp:lastPrinted>2013-09-26T06:26:46Z</cp:lastPrinted>
  <dcterms:created xsi:type="dcterms:W3CDTF">2007-10-24T16:54:59Z</dcterms:created>
  <dcterms:modified xsi:type="dcterms:W3CDTF">2013-09-26T06:39:52Z</dcterms:modified>
  <cp:category/>
  <cp:version/>
  <cp:contentType/>
  <cp:contentStatus/>
</cp:coreProperties>
</file>